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witw\Workspace\Homework\"/>
    </mc:Choice>
  </mc:AlternateContent>
  <xr:revisionPtr revIDLastSave="0" documentId="13_ncr:1_{79C09189-8C44-477C-A5A8-E18E7882A4A5}" xr6:coauthVersionLast="45" xr6:coauthVersionMax="45" xr10:uidLastSave="{00000000-0000-0000-0000-000000000000}"/>
  <bookViews>
    <workbookView xWindow="28680" yWindow="-120" windowWidth="29040" windowHeight="16440" activeTab="5" xr2:uid="{00000000-000D-0000-FFFF-FFFF00000000}"/>
  </bookViews>
  <sheets>
    <sheet name="Kickstarter Data" sheetId="1" r:id="rId1"/>
    <sheet name="Outcome vs category" sheetId="2" r:id="rId2"/>
    <sheet name="Sub-categories" sheetId="3" r:id="rId3"/>
    <sheet name="Outcome vs time" sheetId="4" r:id="rId4"/>
    <sheet name="Bonus 1" sheetId="5" r:id="rId5"/>
    <sheet name="Bonus 2" sheetId="6" r:id="rId6"/>
  </sheets>
  <definedNames>
    <definedName name="_xlnm._FilterDatabase" localSheetId="5" hidden="1">'Bonus 2'!$A$1:$A$4115</definedName>
    <definedName name="_xlnm._FilterDatabase" localSheetId="0" hidden="1">'Kickstarter Data'!$F$1:$F$4115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1" i="6" l="1"/>
  <c r="I11" i="6"/>
  <c r="J10" i="6"/>
  <c r="J9" i="6"/>
  <c r="I9" i="6"/>
  <c r="I6" i="6"/>
  <c r="J7" i="6"/>
  <c r="I7" i="6"/>
  <c r="J6" i="6"/>
  <c r="J5" i="6"/>
  <c r="J4" i="6"/>
  <c r="J3" i="6"/>
  <c r="I5" i="6"/>
  <c r="I4" i="6"/>
  <c r="I3" i="6"/>
  <c r="J2" i="6"/>
  <c r="I2" i="6"/>
  <c r="D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C13" i="5"/>
  <c r="B13" i="5"/>
  <c r="B12" i="5"/>
  <c r="B11" i="5"/>
  <c r="B10" i="5"/>
  <c r="B9" i="5"/>
  <c r="E9" i="5" s="1"/>
  <c r="B8" i="5"/>
  <c r="E8" i="5" s="1"/>
  <c r="B7" i="5"/>
  <c r="E7" i="5" s="1"/>
  <c r="B6" i="5"/>
  <c r="B5" i="5"/>
  <c r="B4" i="5"/>
  <c r="B3" i="5"/>
  <c r="B2" i="5"/>
  <c r="E10" i="5" l="1"/>
  <c r="H10" i="5" s="1"/>
  <c r="H7" i="5"/>
  <c r="H9" i="5"/>
  <c r="G9" i="5"/>
  <c r="G10" i="5"/>
  <c r="H8" i="5"/>
  <c r="G7" i="5"/>
  <c r="G8" i="5"/>
  <c r="E2" i="5"/>
  <c r="H2" i="5" s="1"/>
  <c r="E6" i="5"/>
  <c r="G6" i="5" s="1"/>
  <c r="F10" i="5"/>
  <c r="E13" i="5"/>
  <c r="H13" i="5" s="1"/>
  <c r="E5" i="5"/>
  <c r="G5" i="5" s="1"/>
  <c r="F9" i="5"/>
  <c r="E12" i="5"/>
  <c r="H12" i="5" s="1"/>
  <c r="E4" i="5"/>
  <c r="H4" i="5" s="1"/>
  <c r="F8" i="5"/>
  <c r="E11" i="5"/>
  <c r="H11" i="5" s="1"/>
  <c r="E3" i="5"/>
  <c r="H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5" l="1"/>
  <c r="F13" i="5"/>
  <c r="F12" i="5"/>
  <c r="G13" i="5"/>
  <c r="F11" i="5"/>
  <c r="F3" i="5"/>
  <c r="F2" i="5"/>
  <c r="G11" i="5"/>
  <c r="G2" i="5"/>
  <c r="H5" i="5"/>
  <c r="F4" i="5"/>
  <c r="G4" i="5"/>
  <c r="F5" i="5"/>
  <c r="G12" i="5"/>
  <c r="F6" i="5"/>
  <c r="G3" i="5"/>
</calcChain>
</file>

<file path=xl/sharedStrings.xml><?xml version="1.0" encoding="utf-8"?>
<sst xmlns="http://schemas.openxmlformats.org/spreadsheetml/2006/main" count="36779" uniqueCount="8413">
  <si>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</si>
  <si>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</si>
  <si>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</si>
  <si>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</si>
  <si>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</si>
  <si>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</si>
  <si>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</si>
  <si>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</si>
  <si>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</si>
  <si>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</si>
  <si>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</si>
  <si>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</si>
  <si>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</si>
  <si>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</si>
  <si>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</si>
  <si>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</si>
  <si>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</si>
  <si>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</si>
  <si>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</si>
  <si>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</si>
  <si>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</si>
  <si>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</si>
  <si>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</si>
  <si>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</si>
  <si>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</si>
  <si>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</si>
  <si>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</si>
  <si>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</si>
  <si>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</si>
  <si>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</si>
  <si>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</si>
  <si>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</si>
  <si>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</si>
  <si>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</si>
  <si>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</si>
  <si>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</si>
  <si>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</si>
  <si>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</si>
  <si>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</si>
  <si>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</si>
  <si>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</si>
  <si>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</si>
  <si>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</si>
  <si>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</si>
  <si>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</si>
  <si>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</si>
  <si>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</si>
  <si>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</si>
  <si>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</si>
  <si>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</si>
  <si>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</si>
  <si>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</si>
  <si>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</si>
  <si>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</si>
  <si>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</si>
  <si>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</si>
  <si>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</si>
  <si>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</si>
  <si>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</si>
  <si>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</si>
  <si>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</si>
  <si>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</si>
  <si>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</si>
  <si>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</si>
  <si>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</si>
  <si>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</si>
  <si>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</si>
  <si>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</si>
  <si>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</si>
  <si>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</si>
  <si>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</si>
  <si>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</si>
  <si>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</si>
  <si>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</si>
  <si>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</si>
  <si>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</si>
  <si>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</si>
  <si>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</si>
  <si>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</si>
  <si>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</si>
  <si>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</si>
  <si>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</si>
  <si>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</si>
  <si>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</si>
  <si>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</si>
  <si>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</si>
  <si>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</si>
  <si>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</si>
  <si>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</si>
  <si>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</si>
  <si>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</si>
  <si>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</si>
  <si>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</si>
  <si>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</si>
  <si>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</si>
  <si>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</si>
  <si>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</si>
  <si>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</si>
  <si>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</si>
  <si>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</si>
  <si>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</si>
  <si>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</si>
  <si>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</si>
  <si>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</si>
  <si>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</si>
  <si>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</si>
  <si>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</si>
  <si>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</si>
  <si>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</si>
  <si>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</si>
  <si>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</si>
  <si>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</si>
  <si>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</si>
  <si>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</si>
  <si>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</si>
  <si>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</si>
  <si>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</si>
  <si>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</si>
  <si>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</si>
  <si>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</si>
  <si>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</si>
  <si>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</si>
  <si>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</si>
  <si>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</si>
  <si>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</si>
  <si>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</si>
  <si>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</si>
  <si>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</si>
  <si>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</si>
  <si>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</si>
  <si>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</si>
  <si>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</si>
  <si>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</si>
  <si>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</si>
  <si>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</si>
  <si>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</si>
  <si>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</si>
  <si>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</si>
  <si>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</si>
  <si>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</si>
  <si>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</si>
  <si>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</si>
  <si>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</si>
  <si>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</si>
  <si>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</si>
  <si>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</si>
  <si>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</si>
  <si>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</si>
  <si>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</si>
  <si>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</si>
  <si>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</si>
  <si>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</si>
  <si>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</si>
  <si>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</si>
  <si>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</si>
  <si>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</si>
  <si>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</si>
  <si>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</si>
  <si>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</si>
  <si>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</si>
  <si>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</si>
  <si>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</si>
  <si>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</si>
  <si>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</si>
  <si>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</si>
  <si>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</si>
  <si>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</si>
  <si>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</si>
  <si>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</si>
  <si>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</si>
  <si>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</si>
  <si>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</si>
  <si>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</si>
  <si>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</si>
  <si>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</si>
  <si>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</si>
  <si>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</si>
  <si>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</si>
  <si>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</si>
  <si>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</si>
  <si>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</si>
  <si>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</si>
  <si>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</si>
  <si>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</si>
  <si>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</si>
  <si>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</si>
  <si>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</si>
  <si>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</si>
  <si>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</si>
  <si>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</si>
  <si>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</si>
  <si>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</si>
  <si>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</si>
  <si>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</si>
  <si>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</si>
  <si>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</si>
  <si>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</si>
  <si>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</si>
  <si>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</si>
  <si>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</si>
  <si>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</si>
  <si>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</si>
  <si>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</si>
  <si>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</si>
  <si>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</si>
  <si>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</si>
  <si>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</si>
  <si>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</si>
  <si>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</si>
  <si>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</si>
  <si>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</si>
  <si>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</si>
  <si>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</si>
  <si>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</si>
  <si>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</si>
  <si>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</si>
  <si>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</si>
  <si>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</si>
  <si>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</si>
  <si>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</si>
  <si>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</si>
  <si>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</si>
  <si>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</si>
  <si>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</si>
  <si>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</si>
  <si>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</si>
  <si>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</si>
  <si>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</si>
  <si>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</si>
  <si>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</si>
  <si>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</si>
  <si>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</si>
  <si>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</si>
  <si>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</si>
  <si>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</si>
  <si>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</si>
  <si>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</si>
  <si>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</si>
  <si>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</si>
  <si>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</si>
  <si>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</si>
  <si>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</si>
  <si>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</si>
  <si>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</si>
  <si>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</si>
  <si>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</si>
  <si>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</si>
  <si>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</si>
  <si>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</si>
  <si>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</si>
  <si>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</si>
  <si>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</si>
  <si>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</si>
  <si>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</si>
  <si>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</si>
  <si>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</si>
  <si>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</si>
  <si>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</si>
  <si>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</si>
  <si>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</si>
  <si>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</si>
  <si>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</si>
  <si>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</si>
  <si>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</si>
  <si>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</si>
  <si>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</si>
  <si>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</si>
  <si>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</si>
  <si>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</si>
  <si>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</si>
  <si>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</si>
  <si>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</si>
  <si>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</si>
  <si>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</si>
  <si>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</si>
  <si>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</si>
  <si>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</si>
  <si>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</si>
  <si>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</si>
  <si>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</si>
  <si>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</si>
  <si>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</si>
  <si>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</si>
  <si>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</si>
  <si>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</si>
  <si>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</si>
  <si>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</si>
  <si>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</si>
  <si>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</si>
  <si>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</si>
  <si>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</si>
  <si>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</si>
  <si>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</si>
  <si>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</si>
  <si>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</si>
  <si>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</si>
  <si>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</si>
  <si>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</si>
  <si>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</si>
  <si>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</si>
  <si>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</si>
  <si>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</si>
  <si>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</si>
  <si>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</si>
  <si>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</si>
  <si>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</si>
  <si>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</si>
  <si>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</si>
  <si>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</si>
  <si>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</si>
  <si>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</si>
  <si>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</si>
  <si>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</si>
  <si>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</si>
  <si>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</si>
  <si>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</si>
  <si>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</si>
  <si>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</si>
  <si>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</si>
  <si>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</si>
  <si>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</si>
  <si>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</si>
  <si>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</si>
  <si>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</si>
  <si>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</si>
  <si>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</si>
  <si>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</si>
  <si>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</si>
  <si>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</si>
  <si>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</si>
  <si>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</si>
  <si>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</si>
  <si>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</si>
  <si>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</si>
  <si>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</si>
  <si>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</si>
  <si>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</si>
  <si>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</si>
  <si>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</si>
  <si>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</si>
  <si>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</si>
  <si>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</si>
  <si>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</si>
  <si>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</si>
  <si>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</si>
  <si>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</si>
  <si>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</si>
  <si>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</si>
  <si>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</si>
  <si>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</si>
  <si>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</si>
  <si>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</si>
  <si>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</si>
  <si>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</si>
  <si>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</si>
  <si>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</si>
  <si>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</si>
  <si>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</si>
  <si>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</si>
  <si>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</si>
  <si>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</si>
  <si>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</si>
  <si>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</si>
  <si>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</si>
  <si>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</si>
  <si>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</si>
  <si>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</si>
  <si>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</si>
  <si>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</si>
  <si>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</si>
  <si>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</si>
  <si>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</si>
  <si>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</si>
  <si>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</si>
  <si>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</si>
  <si>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</si>
  <si>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</si>
  <si>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</si>
  <si>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</si>
  <si>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</si>
  <si>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</si>
  <si>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</si>
  <si>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</si>
  <si>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</si>
  <si>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</si>
  <si>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</si>
  <si>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</si>
  <si>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</si>
  <si>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</si>
  <si>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</si>
  <si>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</si>
  <si>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</si>
  <si>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</si>
  <si>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</si>
  <si>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</si>
  <si>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</si>
  <si>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</si>
  <si>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</si>
  <si>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</si>
  <si>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</si>
  <si>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</si>
  <si>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</si>
  <si>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</si>
  <si>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</si>
  <si>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</si>
  <si>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</si>
  <si>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</si>
  <si>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</si>
  <si>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</si>
  <si>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</si>
  <si>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</si>
  <si>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</si>
  <si>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</si>
  <si>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</si>
  <si>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</si>
  <si>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</si>
  <si>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</si>
  <si>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</si>
  <si>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</si>
  <si>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</si>
  <si>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</si>
  <si>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</si>
  <si>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</si>
  <si>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</si>
  <si>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</si>
  <si>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</si>
  <si>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</si>
  <si>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</si>
  <si>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</si>
  <si>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</si>
  <si>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</si>
  <si>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</si>
  <si>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</si>
  <si>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</si>
  <si>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</si>
  <si>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</si>
  <si>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</si>
  <si>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</si>
  <si>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</si>
  <si>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</si>
  <si>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</si>
  <si>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</si>
  <si>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</si>
  <si>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</si>
  <si>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</si>
  <si>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</si>
  <si>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</si>
  <si>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</si>
  <si>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</si>
  <si>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</si>
  <si>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</si>
  <si>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</si>
  <si>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</si>
  <si>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</si>
  <si>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</si>
  <si>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</si>
  <si>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</si>
  <si>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</si>
  <si>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</si>
  <si>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</si>
  <si>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</si>
  <si>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</si>
  <si>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</si>
  <si>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</si>
  <si>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</si>
  <si>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</si>
  <si>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</si>
  <si>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</si>
  <si>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</si>
  <si>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</si>
  <si>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</si>
  <si>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</si>
  <si>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</si>
  <si>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</si>
  <si>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</si>
  <si>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</si>
  <si>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</si>
  <si>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</si>
  <si>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</si>
  <si>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</si>
  <si>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</si>
  <si>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</si>
  <si>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</si>
  <si>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</si>
  <si>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</si>
  <si>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</si>
  <si>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</si>
  <si>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</si>
  <si>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</si>
  <si>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</si>
  <si>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</si>
  <si>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</si>
  <si>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</si>
  <si>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</si>
  <si>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</si>
  <si>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</si>
  <si>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</si>
  <si>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</si>
  <si>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</si>
  <si>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</si>
  <si>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</si>
  <si>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</si>
  <si>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</si>
  <si>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</si>
  <si>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</si>
  <si>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</si>
  <si>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</si>
  <si>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</si>
  <si>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</si>
  <si>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</si>
  <si>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</si>
  <si>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</si>
  <si>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</si>
  <si>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</si>
  <si>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</si>
  <si>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</si>
  <si>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</si>
  <si>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</si>
  <si>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</si>
  <si>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</si>
  <si>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</si>
  <si>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</si>
  <si>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</si>
  <si>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</si>
  <si>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</si>
  <si>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</si>
  <si>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</si>
  <si>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</si>
  <si>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</si>
  <si>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</si>
  <si>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</si>
  <si>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</si>
  <si>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</si>
  <si>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</si>
  <si>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</si>
  <si>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</si>
  <si>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</si>
  <si>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</si>
  <si>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</si>
  <si>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</si>
  <si>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</si>
  <si>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</si>
  <si>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</si>
  <si>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</si>
  <si>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</si>
  <si>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</si>
  <si>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</si>
  <si>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</si>
  <si>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</si>
  <si>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</si>
  <si>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</si>
  <si>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</si>
  <si>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</si>
  <si>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</si>
  <si>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</si>
  <si>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</si>
  <si>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</si>
  <si>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</si>
  <si>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</si>
  <si>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</si>
  <si>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</si>
  <si>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</si>
  <si>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</si>
  <si>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</si>
  <si>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</si>
  <si>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</si>
  <si>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</si>
  <si>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</si>
  <si>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</si>
  <si>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</si>
  <si>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</si>
  <si>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</si>
  <si>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</si>
  <si>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</si>
  <si>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</si>
  <si>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</si>
  <si>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</si>
  <si>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</si>
  <si>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</si>
  <si>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</si>
  <si>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</si>
  <si>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</si>
  <si>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</si>
  <si>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</si>
  <si>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</si>
  <si>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</si>
  <si>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</si>
  <si>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</si>
  <si>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</si>
  <si>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</si>
  <si>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</si>
  <si>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</si>
  <si>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</si>
  <si>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</si>
  <si>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</si>
  <si>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</si>
  <si>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</si>
  <si>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</si>
  <si>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</si>
  <si>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</si>
  <si>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</si>
  <si>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</si>
  <si>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</si>
  <si>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</si>
  <si>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</si>
  <si>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</si>
  <si>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</si>
  <si>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</si>
  <si>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</si>
  <si>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</si>
  <si>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</si>
  <si>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</si>
  <si>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</si>
  <si>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</si>
  <si>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</si>
  <si>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</si>
  <si>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</si>
  <si>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</si>
  <si>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</si>
  <si>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</si>
  <si>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</si>
  <si>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</si>
  <si>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</si>
  <si>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</si>
  <si>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</si>
  <si>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</si>
  <si>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</si>
  <si>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</si>
  <si>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</si>
  <si>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</si>
  <si>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</si>
  <si>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</si>
  <si>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</si>
  <si>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</si>
  <si>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</si>
  <si>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</si>
  <si>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</si>
  <si>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</si>
  <si>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</si>
  <si>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</si>
  <si>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</si>
  <si>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</si>
  <si>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</si>
  <si>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</si>
  <si>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</si>
  <si>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</si>
  <si>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</si>
  <si>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</si>
  <si>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</si>
  <si>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</si>
  <si>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</si>
  <si>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</si>
  <si>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</si>
  <si>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</si>
  <si>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</si>
  <si>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</si>
  <si>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</si>
  <si>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</si>
  <si>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</si>
  <si>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</si>
  <si>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</si>
  <si>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</si>
  <si>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</si>
  <si>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</si>
  <si>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</si>
  <si>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</si>
  <si>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</si>
  <si>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</si>
  <si>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</si>
  <si>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</si>
  <si>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</si>
  <si>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</si>
  <si>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</si>
  <si>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</si>
  <si>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</si>
  <si>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</si>
  <si>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</si>
  <si>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</si>
  <si>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</si>
  <si>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</si>
  <si>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</si>
  <si>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</si>
  <si>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</si>
  <si>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</si>
  <si>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</si>
  <si>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</si>
  <si>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</si>
  <si>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</si>
  <si>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</si>
  <si>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</si>
  <si>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</si>
  <si>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</si>
  <si>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</si>
  <si>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</si>
  <si>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</si>
  <si>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</si>
  <si>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</si>
  <si>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</si>
  <si>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</si>
  <si>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</si>
  <si>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</si>
  <si>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</si>
  <si>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</si>
  <si>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</si>
  <si>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</si>
  <si>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</si>
  <si>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</si>
  <si>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</si>
  <si>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</si>
  <si>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</si>
  <si>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</si>
  <si>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</si>
  <si>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</si>
  <si>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</si>
  <si>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</si>
  <si>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</si>
  <si>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</si>
  <si>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</si>
  <si>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</si>
  <si>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</si>
  <si>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</si>
  <si>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</si>
  <si>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</si>
  <si>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</si>
  <si>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</si>
  <si>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</si>
  <si>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</si>
  <si>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</si>
  <si>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</si>
  <si>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</si>
  <si>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</si>
  <si>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</si>
  <si>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</si>
  <si>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</si>
  <si>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</si>
  <si>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</si>
  <si>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</si>
  <si>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</si>
  <si>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</si>
  <si>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</si>
  <si>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</si>
  <si>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</si>
  <si>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</si>
  <si>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</si>
  <si>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</si>
  <si>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</si>
  <si>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</si>
  <si>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</si>
  <si>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</si>
  <si>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</si>
  <si>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</si>
  <si>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</si>
  <si>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</si>
  <si>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</si>
  <si>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</si>
  <si>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</si>
  <si>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</si>
  <si>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</si>
  <si>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</si>
  <si>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</si>
  <si>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</si>
  <si>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</si>
  <si>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</si>
  <si>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</si>
  <si>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</si>
  <si>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</si>
  <si>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</si>
  <si>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</si>
  <si>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</si>
  <si>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</si>
  <si>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</si>
  <si>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</si>
  <si>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</si>
  <si>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</si>
  <si>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</si>
  <si>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</si>
  <si>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</si>
  <si>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</si>
  <si>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</si>
  <si>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</si>
  <si>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</si>
  <si>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</si>
  <si>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</si>
  <si>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</si>
  <si>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</si>
  <si>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</si>
  <si>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</si>
  <si>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</si>
  <si>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</si>
  <si>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</si>
  <si>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</si>
  <si>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</si>
  <si>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</si>
  <si>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</si>
  <si>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</si>
  <si>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</si>
  <si>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</si>
  <si>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</si>
  <si>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</si>
  <si>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</si>
  <si>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</si>
  <si>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</si>
  <si>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</si>
  <si>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</si>
  <si>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</si>
  <si>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</si>
  <si>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</si>
  <si>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</si>
  <si>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</si>
  <si>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</si>
  <si>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</si>
  <si>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</si>
  <si>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</si>
  <si>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</si>
  <si>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</si>
  <si>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</si>
  <si>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</si>
  <si>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</si>
  <si>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</si>
  <si>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</si>
  <si>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</si>
  <si>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</si>
  <si>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</si>
  <si>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</si>
  <si>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</si>
  <si>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</si>
  <si>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</si>
  <si>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</si>
  <si>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</si>
  <si>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</si>
  <si>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</si>
  <si>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</si>
  <si>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</si>
  <si>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</si>
  <si>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</si>
  <si>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</si>
  <si>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</si>
  <si>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</si>
  <si>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</si>
  <si>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</si>
  <si>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</si>
  <si>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</si>
  <si>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</si>
  <si>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</si>
  <si>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</si>
  <si>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</si>
  <si>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</si>
  <si>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</si>
  <si>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</si>
  <si>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</si>
  <si>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</si>
  <si>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</si>
  <si>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</si>
  <si>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</si>
  <si>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</si>
  <si>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</si>
  <si>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</si>
  <si>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</si>
  <si>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</si>
  <si>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</si>
  <si>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</si>
  <si>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</si>
  <si>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</si>
  <si>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</si>
  <si>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</si>
  <si>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</si>
  <si>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</si>
  <si>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</si>
  <si>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</si>
  <si>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</si>
  <si>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</si>
  <si>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</si>
  <si>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</si>
  <si>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</si>
  <si>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</si>
  <si>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</si>
  <si>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</si>
  <si>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</si>
  <si>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</si>
  <si>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</si>
  <si>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</si>
  <si>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</si>
  <si>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</si>
  <si>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</si>
  <si>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</si>
  <si>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</si>
  <si>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</si>
  <si>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</si>
  <si>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</si>
  <si>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</si>
  <si>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</si>
  <si>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</si>
  <si>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</si>
  <si>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</si>
  <si>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</si>
  <si>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</si>
  <si>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</si>
  <si>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</si>
  <si>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</si>
  <si>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</si>
  <si>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</si>
  <si>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</si>
  <si>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</si>
  <si>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</si>
  <si>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</si>
  <si>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</si>
  <si>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</si>
  <si>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</si>
  <si>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</si>
  <si>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</si>
  <si>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</si>
  <si>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</si>
  <si>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</si>
  <si>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</si>
  <si>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</si>
  <si>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</si>
  <si>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</si>
  <si>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</si>
  <si>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</si>
  <si>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</si>
  <si>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</si>
  <si>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</si>
  <si>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</si>
  <si>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</si>
  <si>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</si>
  <si>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</si>
  <si>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</si>
  <si>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</si>
  <si>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</si>
  <si>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</si>
  <si>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</si>
  <si>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</si>
  <si>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</si>
  <si>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</si>
  <si>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</si>
  <si>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</si>
  <si>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</si>
  <si>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</si>
  <si>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</si>
  <si>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</si>
  <si>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</si>
  <si>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</si>
  <si>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</si>
  <si>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</si>
  <si>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</si>
  <si>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</si>
  <si>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</si>
  <si>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</si>
  <si>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</si>
  <si>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</si>
  <si>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</si>
  <si>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</si>
  <si>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</si>
  <si>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</si>
  <si>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</si>
  <si>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</si>
  <si>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</si>
  <si>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</si>
  <si>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</si>
  <si>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</si>
  <si>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</si>
  <si>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</si>
  <si>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</si>
  <si>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</si>
  <si>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</si>
  <si>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</si>
  <si>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</si>
  <si>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</si>
  <si>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</si>
  <si>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</si>
  <si>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</si>
  <si>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</si>
  <si>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</si>
  <si>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</si>
  <si>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</si>
  <si>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</si>
  <si>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</si>
  <si>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</si>
  <si>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</si>
  <si>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</si>
  <si>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</si>
  <si>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</si>
  <si>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</si>
  <si>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</si>
  <si>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</si>
  <si>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</si>
  <si>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</si>
  <si>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</si>
  <si>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</si>
  <si>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</si>
  <si>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</si>
  <si>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</si>
  <si>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</si>
  <si>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</si>
  <si>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</si>
  <si>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</si>
  <si>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</si>
  <si>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</si>
  <si>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</si>
  <si>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</si>
  <si>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</si>
  <si>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</si>
  <si>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</si>
  <si>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</si>
  <si>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</si>
  <si>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</si>
  <si>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</si>
  <si>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</si>
  <si>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</si>
  <si>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</si>
  <si>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</si>
  <si>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</si>
  <si>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</si>
  <si>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</si>
  <si>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</si>
  <si>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</si>
  <si>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</si>
  <si>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</si>
  <si>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</si>
  <si>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</si>
  <si>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</si>
  <si>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</si>
  <si>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</si>
  <si>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</si>
  <si>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</si>
  <si>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</si>
  <si>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</si>
  <si>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</si>
  <si>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</si>
  <si>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</si>
  <si>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</si>
  <si>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</si>
  <si>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</si>
  <si>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</si>
  <si>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</si>
  <si>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</si>
  <si>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</si>
  <si>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</si>
  <si>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</si>
  <si>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</si>
  <si>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</si>
  <si>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</si>
  <si>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</si>
  <si>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</si>
  <si>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</si>
  <si>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</si>
  <si>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</si>
  <si>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</si>
  <si>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</si>
  <si>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</si>
  <si>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</si>
  <si>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</si>
  <si>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</si>
  <si>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</si>
  <si>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</si>
  <si>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</si>
  <si>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</si>
  <si>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</si>
  <si>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</si>
  <si>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</si>
  <si>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</si>
  <si>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</si>
  <si>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</si>
  <si>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</si>
  <si>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</si>
  <si>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</si>
  <si>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</si>
  <si>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</si>
  <si>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</si>
  <si>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</si>
  <si>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</si>
  <si>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</si>
  <si>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</si>
  <si>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</si>
  <si>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</si>
  <si>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</si>
  <si>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</si>
  <si>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</si>
  <si>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</si>
  <si>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</si>
  <si>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</si>
  <si>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</si>
  <si>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</si>
  <si>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</si>
  <si>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</si>
  <si>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</si>
  <si>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</si>
  <si>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</si>
  <si>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</si>
  <si>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</si>
  <si>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</si>
  <si>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</si>
  <si>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</si>
  <si>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</si>
  <si>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</si>
  <si>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</si>
  <si>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</si>
  <si>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</si>
  <si>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</si>
  <si>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</si>
  <si>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</si>
  <si>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</si>
  <si>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</si>
  <si>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</si>
  <si>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</si>
  <si>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</si>
  <si>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</si>
  <si>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</si>
  <si>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</si>
  <si>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</si>
  <si>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</si>
  <si>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</si>
  <si>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</si>
  <si>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</si>
  <si>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</si>
  <si>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</si>
  <si>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</si>
  <si>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</si>
  <si>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</si>
  <si>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</si>
  <si>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</si>
  <si>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</si>
  <si>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</si>
  <si>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</si>
  <si>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</si>
  <si>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</si>
  <si>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</si>
  <si>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</si>
  <si>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</si>
  <si>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</si>
  <si>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</si>
  <si>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</si>
  <si>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</si>
  <si>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</si>
  <si>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</si>
  <si>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</si>
  <si>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</si>
  <si>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</si>
  <si>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</si>
  <si>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</si>
  <si>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</si>
  <si>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</si>
  <si>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</si>
  <si>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</si>
  <si>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</si>
  <si>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</si>
  <si>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</si>
  <si>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</si>
  <si>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</si>
  <si>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</si>
  <si>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</si>
  <si>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</si>
  <si>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</si>
  <si>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</si>
  <si>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</si>
  <si>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</si>
  <si>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</si>
  <si>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</si>
  <si>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</si>
  <si>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</si>
  <si>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</si>
  <si>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</si>
  <si>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</si>
  <si>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</si>
  <si>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</si>
  <si>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</si>
  <si>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</si>
  <si>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</si>
  <si>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</si>
  <si>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</si>
  <si>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</si>
  <si>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</si>
  <si>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</si>
  <si>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</si>
  <si>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</si>
  <si>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</si>
  <si>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</si>
  <si>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</si>
  <si>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</si>
  <si>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</si>
  <si>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</si>
  <si>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</si>
  <si>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</si>
  <si>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</si>
  <si>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</si>
  <si>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</si>
  <si>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</si>
  <si>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</si>
  <si>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</si>
  <si>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</si>
  <si>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</si>
  <si>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</si>
  <si>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</si>
  <si>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</si>
  <si>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</si>
  <si>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</si>
  <si>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</si>
  <si>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</si>
  <si>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</si>
  <si>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</si>
  <si>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</si>
  <si>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</si>
  <si>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</si>
  <si>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</si>
  <si>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</si>
  <si>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</si>
  <si>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</si>
  <si>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</si>
  <si>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</si>
  <si>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</si>
  <si>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</si>
  <si>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</si>
  <si>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</si>
  <si>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</si>
  <si>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</si>
  <si>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</si>
  <si>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</si>
  <si>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</si>
  <si>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</si>
  <si>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</si>
  <si>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</si>
  <si>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</si>
  <si>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</si>
  <si>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</si>
  <si>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</si>
  <si>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</si>
  <si>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</si>
  <si>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</si>
  <si>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</si>
  <si>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</si>
  <si>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</si>
  <si>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</si>
  <si>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</si>
  <si>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</si>
  <si>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</si>
  <si>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</si>
  <si>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</si>
  <si>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</si>
  <si>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</si>
  <si>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</si>
  <si>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</si>
  <si>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</si>
  <si>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</si>
  <si>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</si>
  <si>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</si>
  <si>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</si>
  <si>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</si>
  <si>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</si>
  <si>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</si>
  <si>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</si>
  <si>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</si>
  <si>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</si>
  <si>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</si>
  <si>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</si>
  <si>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</si>
  <si>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</si>
  <si>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</si>
  <si>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</si>
  <si>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</si>
  <si>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</si>
  <si>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</si>
  <si>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</si>
  <si>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</si>
  <si>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</si>
  <si>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</si>
  <si>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</si>
  <si>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</si>
  <si>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</si>
  <si>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</si>
  <si>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</si>
  <si>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</si>
  <si>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</si>
  <si>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</si>
  <si>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</si>
  <si>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</si>
  <si>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</si>
  <si>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</si>
  <si>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</si>
  <si>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</si>
  <si>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</si>
  <si>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</si>
  <si>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</si>
  <si>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</si>
  <si>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</si>
  <si>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</si>
  <si>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</si>
  <si>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</si>
  <si>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</si>
  <si>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</si>
  <si>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</si>
  <si>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</si>
  <si>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</si>
  <si>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</si>
  <si>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</si>
  <si>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</si>
  <si>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</si>
  <si>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</si>
  <si>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</si>
  <si>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</si>
  <si>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</si>
  <si>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</si>
  <si>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</si>
  <si>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</si>
  <si>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</si>
  <si>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</si>
  <si>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</si>
  <si>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</si>
  <si>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</si>
  <si>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</si>
  <si>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</si>
  <si>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</si>
  <si>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</si>
  <si>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</si>
  <si>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</si>
  <si>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</si>
  <si>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</si>
  <si>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</si>
  <si>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</si>
  <si>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</si>
  <si>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</si>
  <si>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</si>
  <si>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</si>
  <si>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</si>
  <si>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</si>
  <si>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</si>
  <si>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</si>
  <si>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</si>
  <si>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</si>
  <si>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</si>
  <si>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</si>
  <si>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</si>
  <si>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</si>
  <si>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</si>
  <si>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</si>
  <si>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</si>
  <si>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</si>
  <si>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</si>
  <si>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</si>
  <si>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</si>
  <si>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</si>
  <si>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</si>
  <si>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</si>
  <si>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</si>
  <si>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</si>
  <si>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</si>
  <si>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</si>
  <si>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</si>
  <si>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</si>
  <si>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</si>
  <si>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</si>
  <si>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</si>
  <si>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</si>
  <si>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</si>
  <si>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</si>
  <si>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</si>
  <si>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</si>
  <si>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</si>
  <si>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</si>
  <si>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</si>
  <si>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</si>
  <si>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</si>
  <si>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</si>
  <si>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</si>
  <si>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</si>
  <si>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</si>
  <si>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</si>
  <si>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</si>
  <si>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</si>
  <si>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</si>
  <si>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</si>
  <si>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</si>
  <si>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</si>
  <si>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</si>
  <si>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</si>
  <si>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</si>
  <si>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</si>
  <si>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</si>
  <si>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</si>
  <si>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</si>
  <si>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</si>
  <si>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</si>
  <si>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</si>
  <si>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</si>
  <si>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</si>
  <si>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</si>
  <si>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</si>
  <si>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</si>
  <si>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</si>
  <si>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</si>
  <si>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</si>
  <si>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</si>
  <si>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</si>
  <si>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</si>
  <si>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</si>
  <si>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</si>
  <si>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</si>
  <si>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</si>
  <si>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</si>
  <si>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</si>
  <si>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</si>
  <si>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</si>
  <si>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</si>
  <si>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</si>
  <si>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</si>
  <si>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</si>
  <si>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</si>
  <si>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</si>
  <si>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</si>
  <si>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</si>
  <si>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</si>
  <si>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</si>
  <si>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</si>
  <si>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</si>
  <si>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</si>
  <si>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</si>
  <si>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</si>
  <si>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</si>
  <si>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</si>
  <si>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</si>
  <si>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</si>
  <si>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</si>
  <si>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</si>
  <si>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</si>
  <si>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</si>
  <si>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</si>
  <si>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</si>
  <si>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</si>
  <si>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</si>
  <si>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</si>
  <si>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</si>
  <si>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</si>
  <si>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</si>
  <si>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</si>
  <si>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</si>
  <si>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</si>
  <si>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</si>
  <si>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</si>
  <si>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</si>
  <si>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</si>
  <si>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</si>
  <si>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</si>
  <si>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</si>
  <si>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</si>
  <si>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</si>
  <si>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</si>
  <si>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</si>
  <si>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</si>
  <si>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</si>
  <si>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</si>
  <si>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</si>
  <si>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</si>
  <si>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</si>
  <si>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</si>
  <si>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</si>
  <si>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</si>
  <si>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</si>
  <si>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</si>
  <si>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</si>
  <si>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</si>
  <si>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</si>
  <si>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</si>
  <si>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</si>
  <si>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</si>
  <si>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</si>
  <si>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</si>
  <si>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</si>
  <si>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</si>
  <si>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</si>
  <si>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</si>
  <si>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</si>
  <si>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</si>
  <si>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</si>
  <si>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</si>
  <si>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</si>
  <si>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</si>
  <si>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</si>
  <si>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</si>
  <si>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</si>
  <si>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</si>
  <si>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</si>
  <si>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</si>
  <si>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</si>
  <si>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</si>
  <si>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</si>
  <si>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</si>
  <si>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</si>
  <si>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</si>
  <si>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</si>
  <si>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</si>
  <si>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</si>
  <si>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</si>
  <si>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</si>
  <si>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</si>
  <si>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</si>
  <si>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</si>
  <si>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</si>
  <si>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</si>
  <si>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</si>
  <si>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</si>
  <si>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</si>
  <si>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</si>
  <si>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</si>
  <si>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</si>
  <si>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</si>
  <si>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</si>
  <si>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</si>
  <si>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</si>
  <si>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</si>
  <si>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</si>
  <si>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</si>
  <si>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</si>
  <si>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</si>
  <si>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</si>
  <si>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</si>
  <si>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</si>
  <si>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</si>
  <si>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</si>
  <si>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</si>
  <si>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</si>
  <si>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</si>
  <si>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</si>
  <si>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</si>
  <si>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</si>
  <si>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</si>
  <si>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</si>
  <si>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</si>
  <si>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</si>
  <si>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</si>
  <si>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</si>
  <si>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</si>
  <si>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</si>
  <si>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</si>
  <si>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</si>
  <si>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</si>
  <si>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</si>
  <si>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</si>
  <si>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</si>
  <si>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</si>
  <si>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</si>
  <si>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</si>
  <si>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</si>
  <si>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</si>
  <si>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</si>
  <si>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</si>
  <si>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</si>
  <si>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</si>
  <si>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</si>
  <si>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</si>
  <si>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</si>
  <si>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</si>
  <si>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</si>
  <si>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</si>
  <si>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</si>
  <si>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</si>
  <si>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</si>
  <si>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</si>
  <si>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</si>
  <si>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</si>
  <si>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</si>
  <si>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</si>
  <si>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</si>
  <si>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</si>
  <si>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</si>
  <si>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</si>
  <si>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</si>
  <si>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</si>
  <si>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</si>
  <si>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</si>
  <si>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</si>
  <si>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</si>
  <si>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</si>
  <si>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</si>
  <si>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</si>
  <si>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</si>
  <si>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</si>
  <si>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</si>
  <si>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</si>
  <si>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</si>
  <si>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</si>
  <si>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</si>
  <si>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</si>
  <si>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</si>
  <si>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</si>
  <si>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</si>
  <si>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</si>
  <si>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</si>
  <si>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</si>
  <si>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</si>
  <si>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</si>
  <si>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</si>
  <si>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</si>
  <si>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</si>
  <si>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</si>
  <si>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</si>
  <si>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</si>
  <si>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</si>
  <si>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</si>
  <si>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</si>
  <si>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</si>
  <si>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</si>
  <si>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</si>
  <si>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</si>
  <si>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</si>
  <si>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</si>
  <si>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</si>
  <si>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</si>
  <si>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</si>
  <si>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</si>
  <si>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</si>
  <si>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</si>
  <si>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</si>
  <si>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</si>
  <si>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</si>
  <si>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</si>
  <si>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</si>
  <si>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</si>
  <si>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</si>
  <si>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</si>
  <si>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</si>
  <si>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</si>
  <si>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</si>
  <si>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</si>
  <si>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</si>
  <si>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</si>
  <si>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</si>
  <si>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</si>
  <si>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</si>
  <si>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</si>
  <si>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</si>
  <si>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</si>
  <si>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</si>
  <si>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</si>
  <si>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</si>
  <si>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</si>
  <si>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</si>
  <si>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</si>
  <si>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</si>
  <si>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</si>
  <si>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</si>
  <si>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</si>
  <si>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</si>
  <si>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</si>
  <si>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</si>
  <si>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</si>
  <si>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</si>
  <si>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</si>
  <si>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</si>
  <si>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</si>
  <si>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</si>
  <si>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</si>
  <si>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</si>
  <si>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</si>
  <si>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</si>
  <si>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</si>
  <si>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</si>
  <si>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</si>
  <si>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</si>
  <si>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</si>
  <si>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</si>
  <si>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</si>
  <si>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</si>
  <si>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</si>
  <si>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</si>
  <si>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</si>
  <si>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</si>
  <si>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</si>
  <si>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</si>
  <si>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</si>
  <si>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</si>
  <si>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</si>
  <si>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</si>
  <si>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</si>
  <si>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</si>
  <si>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</si>
  <si>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</si>
  <si>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</si>
  <si>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</si>
  <si>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</si>
  <si>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</si>
  <si>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</si>
  <si>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</si>
  <si>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</si>
  <si>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</si>
  <si>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</si>
  <si>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</si>
  <si>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</si>
  <si>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</si>
  <si>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</si>
  <si>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</si>
  <si>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</si>
  <si>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</si>
  <si>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</si>
  <si>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</si>
  <si>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</si>
  <si>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</si>
  <si>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</si>
  <si>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</si>
  <si>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</si>
  <si>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</si>
  <si>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</si>
  <si>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</si>
  <si>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</si>
  <si>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</si>
  <si>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</si>
  <si>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</si>
  <si>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</si>
  <si>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</si>
  <si>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</si>
  <si>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</si>
  <si>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</si>
  <si>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</si>
  <si>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</si>
  <si>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</si>
  <si>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</si>
  <si>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</si>
  <si>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</si>
  <si>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</si>
  <si>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</si>
  <si>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</si>
  <si>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</si>
  <si>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</si>
  <si>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</si>
  <si>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</si>
  <si>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</si>
  <si>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</si>
  <si>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</si>
  <si>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</si>
  <si>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</si>
  <si>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</si>
  <si>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</si>
  <si>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</si>
  <si>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</si>
  <si>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</si>
  <si>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</si>
  <si>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</si>
  <si>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</si>
  <si>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</si>
  <si>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</si>
  <si>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</si>
  <si>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</si>
  <si>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</si>
  <si>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</si>
  <si>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</si>
  <si>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</si>
  <si>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</si>
  <si>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</si>
  <si>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</si>
  <si>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</si>
  <si>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</si>
  <si>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</si>
  <si>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</si>
  <si>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</si>
  <si>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</si>
  <si>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</si>
  <si>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</si>
  <si>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</si>
  <si>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</si>
  <si>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</si>
  <si>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</si>
  <si>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</si>
  <si>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</si>
  <si>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</si>
  <si>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</si>
  <si>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</si>
  <si>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</si>
  <si>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</si>
  <si>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</si>
  <si>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</si>
  <si>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</si>
  <si>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</si>
  <si>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</si>
  <si>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</si>
  <si>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</si>
  <si>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</si>
  <si>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</si>
  <si>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</si>
  <si>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</si>
  <si>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</si>
  <si>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</si>
  <si>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</si>
  <si>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</si>
  <si>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</si>
  <si>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</si>
  <si>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</si>
  <si>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</si>
  <si>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</si>
  <si>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</si>
  <si>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</si>
  <si>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</si>
  <si>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</si>
  <si>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</si>
  <si>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</si>
  <si>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</si>
  <si>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</si>
  <si>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</si>
  <si>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</si>
  <si>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</si>
  <si>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</si>
  <si>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</si>
  <si>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</si>
  <si>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</si>
  <si>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</si>
  <si>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</si>
  <si>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</si>
  <si>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</si>
  <si>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</si>
  <si>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</si>
  <si>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</si>
  <si>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</si>
  <si>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</si>
  <si>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</si>
  <si>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</si>
  <si>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</si>
  <si>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</si>
  <si>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</si>
  <si>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</si>
  <si>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</si>
  <si>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</si>
  <si>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</si>
  <si>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</si>
  <si>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</si>
  <si>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</si>
  <si>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</si>
  <si>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</si>
  <si>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</si>
  <si>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</si>
  <si>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</si>
  <si>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</si>
  <si>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</si>
  <si>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</si>
  <si>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</si>
  <si>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</si>
  <si>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</si>
  <si>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</si>
  <si>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</si>
  <si>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</si>
  <si>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</si>
  <si>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</si>
  <si>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</si>
  <si>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</si>
  <si>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</si>
  <si>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</si>
  <si>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</si>
  <si>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</si>
  <si>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</si>
  <si>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</si>
  <si>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</si>
  <si>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</si>
  <si>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</si>
  <si>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</si>
  <si>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</si>
  <si>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</si>
  <si>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</si>
  <si>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</si>
  <si>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</si>
  <si>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</si>
  <si>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</si>
  <si>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</si>
  <si>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</si>
  <si>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</si>
  <si>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</si>
  <si>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</si>
  <si>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</si>
  <si>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</si>
  <si>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</si>
  <si>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</si>
  <si>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</si>
  <si>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</si>
  <si>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</si>
  <si>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</si>
  <si>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</si>
  <si>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</si>
  <si>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</si>
  <si>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</si>
  <si>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</si>
  <si>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</si>
  <si>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</si>
  <si>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</si>
  <si>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</si>
  <si>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</si>
  <si>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</si>
  <si>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</si>
  <si>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</si>
  <si>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</si>
  <si>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</si>
  <si>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</si>
  <si>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</si>
  <si>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</si>
  <si>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</si>
  <si>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</si>
  <si>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</si>
  <si>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</si>
  <si>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</si>
  <si>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</si>
  <si>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</si>
  <si>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</si>
  <si>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</si>
  <si>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</si>
  <si>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</si>
  <si>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</si>
  <si>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</si>
  <si>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</si>
  <si>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</si>
  <si>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</si>
  <si>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</si>
  <si>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</si>
  <si>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</si>
  <si>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</si>
  <si>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</si>
  <si>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</si>
  <si>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</si>
  <si>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</si>
  <si>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</si>
  <si>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</si>
  <si>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</si>
  <si>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</si>
  <si>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</si>
  <si>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</si>
  <si>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</si>
  <si>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</si>
  <si>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</si>
  <si>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</si>
  <si>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</si>
  <si>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</si>
  <si>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</si>
  <si>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</si>
  <si>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</si>
  <si>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</si>
  <si>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</si>
  <si>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</si>
  <si>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</si>
  <si>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</si>
  <si>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</si>
  <si>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</si>
  <si>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</si>
  <si>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</si>
  <si>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</si>
  <si>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</si>
  <si>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</si>
  <si>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</si>
  <si>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</si>
  <si>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</si>
  <si>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</si>
  <si>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</si>
  <si>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</si>
  <si>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</si>
  <si>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</si>
  <si>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</si>
  <si>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</si>
  <si>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</si>
  <si>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</si>
  <si>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</si>
  <si>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</si>
  <si>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</si>
  <si>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</si>
  <si>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</si>
  <si>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</si>
  <si>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</si>
  <si>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</si>
  <si>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</si>
  <si>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</si>
  <si>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</si>
  <si>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</si>
  <si>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</si>
  <si>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</si>
  <si>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</si>
  <si>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</si>
  <si>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</si>
  <si>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</si>
  <si>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</si>
  <si>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</si>
  <si>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</si>
  <si>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</si>
  <si>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</si>
  <si>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</si>
  <si>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</si>
  <si>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</si>
  <si>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</si>
  <si>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</si>
  <si>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</si>
  <si>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</si>
  <si>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</si>
  <si>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</si>
  <si>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</si>
  <si>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</si>
  <si>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</si>
  <si>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</si>
  <si>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</si>
  <si>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</si>
  <si>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</si>
  <si>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</si>
  <si>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</si>
  <si>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</si>
  <si>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</si>
  <si>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</si>
  <si>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</si>
  <si>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</si>
  <si>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</si>
  <si>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</si>
  <si>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</si>
  <si>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</si>
  <si>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</si>
  <si>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</si>
  <si>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</si>
  <si>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</si>
  <si>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</si>
  <si>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</si>
  <si>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</si>
  <si>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</si>
  <si>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</si>
  <si>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</si>
  <si>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</si>
  <si>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</si>
  <si>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</si>
  <si>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</si>
  <si>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</si>
  <si>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</si>
  <si>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</si>
  <si>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</si>
  <si>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</si>
  <si>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</si>
  <si>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</si>
  <si>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</si>
  <si>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</si>
  <si>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</si>
  <si>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</si>
  <si>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</si>
  <si>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</si>
  <si>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</si>
  <si>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</si>
  <si>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</si>
  <si>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</si>
  <si>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</si>
  <si>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</si>
  <si>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</si>
  <si>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</si>
  <si>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</si>
  <si>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</si>
  <si>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</si>
  <si>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</si>
  <si>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</si>
  <si>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</si>
  <si>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</si>
  <si>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</si>
  <si>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</si>
  <si>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</si>
  <si>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</si>
  <si>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</si>
  <si>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</si>
  <si>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</si>
  <si>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</si>
  <si>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</si>
  <si>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</si>
  <si>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</si>
  <si>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</si>
  <si>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</si>
  <si>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</si>
  <si>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</si>
  <si>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</si>
  <si>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</si>
  <si>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</si>
  <si>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</si>
  <si>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</si>
  <si>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</si>
  <si>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</si>
  <si>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</si>
  <si>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</si>
  <si>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</si>
  <si>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</si>
  <si>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</si>
  <si>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</si>
  <si>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</si>
  <si>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</si>
  <si>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</si>
  <si>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</si>
  <si>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</si>
  <si>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</si>
  <si>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</si>
  <si>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</si>
  <si>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</si>
  <si>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</si>
  <si>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</si>
  <si>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</si>
  <si>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</si>
  <si>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</si>
  <si>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</si>
  <si>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</si>
  <si>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</si>
  <si>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</si>
  <si>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</si>
  <si>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</si>
  <si>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</si>
  <si>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</si>
  <si>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</si>
  <si>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</si>
  <si>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</si>
  <si>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</si>
  <si>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</si>
  <si>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</si>
  <si>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</si>
  <si>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</si>
  <si>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</si>
  <si>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</si>
  <si>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</si>
  <si>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</si>
  <si>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</si>
  <si>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</si>
  <si>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</si>
  <si>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</si>
  <si>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</si>
  <si>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</si>
  <si>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</si>
  <si>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</si>
  <si>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</si>
  <si>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</si>
  <si>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</si>
  <si>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</si>
  <si>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</si>
  <si>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</si>
  <si>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</si>
  <si>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</si>
  <si>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</si>
  <si>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</si>
  <si>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</si>
  <si>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</si>
  <si>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</si>
  <si>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</si>
  <si>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</si>
  <si>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</si>
  <si>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</si>
  <si>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</si>
  <si>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</si>
  <si>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</si>
  <si>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</si>
  <si>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</si>
  <si>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</si>
  <si>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</si>
  <si>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</si>
  <si>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</si>
  <si>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</si>
  <si>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</si>
  <si>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</si>
  <si>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</si>
  <si>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</si>
  <si>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</si>
  <si>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</si>
  <si>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</si>
  <si>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</si>
  <si>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</si>
  <si>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</si>
  <si>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</si>
  <si>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</si>
  <si>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</si>
  <si>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</si>
  <si>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</si>
  <si>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</si>
  <si>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</si>
  <si>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</si>
  <si>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</si>
  <si>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</si>
  <si>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</si>
  <si>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</si>
  <si>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</si>
  <si>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</si>
  <si>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</si>
  <si>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</si>
  <si>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</si>
  <si>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</si>
  <si>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</si>
  <si>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</si>
  <si>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</si>
  <si>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</si>
  <si>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</si>
  <si>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</si>
  <si>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</si>
  <si>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</si>
  <si>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</si>
  <si>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</si>
  <si>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</si>
  <si>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</si>
  <si>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</si>
  <si>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</si>
  <si>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</si>
  <si>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</si>
  <si>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</si>
  <si>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</si>
  <si>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</si>
  <si>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</si>
  <si>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</si>
  <si>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</si>
  <si>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</si>
  <si>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</si>
  <si>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</si>
  <si>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</si>
  <si>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</si>
  <si>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</si>
  <si>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</si>
  <si>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</si>
  <si>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</si>
  <si>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</si>
  <si>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</si>
  <si>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</si>
  <si>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</si>
  <si>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</si>
  <si>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</si>
  <si>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</si>
  <si>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</si>
  <si>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</si>
  <si>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</si>
  <si>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</si>
  <si>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</si>
  <si>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</si>
  <si>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</si>
  <si>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</si>
  <si>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</si>
  <si>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</si>
  <si>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</si>
  <si>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</si>
  <si>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</si>
  <si>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</si>
  <si>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</si>
  <si>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</si>
  <si>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</si>
  <si>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</si>
  <si>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</si>
  <si>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</si>
  <si>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</si>
  <si>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</si>
  <si>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</si>
  <si>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</si>
  <si>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</si>
  <si>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</si>
  <si>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</si>
  <si>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</si>
  <si>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</si>
  <si>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</si>
  <si>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</si>
  <si>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</si>
  <si>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</si>
  <si>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</si>
  <si>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</si>
  <si>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</si>
  <si>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</si>
  <si>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</si>
  <si>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</si>
  <si>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</si>
  <si>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</si>
  <si>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</si>
  <si>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</si>
  <si>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</si>
  <si>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</si>
  <si>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</si>
  <si>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</si>
  <si>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</si>
  <si>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</si>
  <si>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</si>
  <si>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</si>
  <si>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</si>
  <si>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</si>
  <si>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</si>
  <si>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</si>
  <si>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</si>
  <si>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</si>
  <si>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</si>
  <si>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</si>
  <si>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</si>
  <si>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</si>
  <si>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</si>
  <si>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</si>
  <si>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</si>
  <si>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</si>
  <si>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</si>
  <si>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</si>
  <si>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</si>
  <si>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</si>
  <si>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</si>
  <si>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</si>
  <si>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</si>
  <si>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</si>
  <si>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</si>
  <si>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</si>
  <si>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</si>
  <si>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</si>
  <si>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</si>
  <si>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</si>
  <si>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</si>
  <si>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</si>
  <si>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</si>
  <si>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</si>
  <si>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</si>
  <si>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</si>
  <si>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</si>
  <si>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</si>
  <si>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</si>
  <si>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</si>
  <si>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</si>
  <si>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</si>
  <si>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</si>
  <si>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</si>
  <si>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</si>
  <si>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</si>
  <si>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</si>
  <si>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</si>
  <si>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</si>
  <si>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</si>
  <si>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</si>
  <si>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</si>
  <si>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</si>
  <si>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</si>
  <si>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</si>
  <si>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</si>
  <si>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</si>
  <si>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</si>
  <si>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</si>
  <si>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</si>
  <si>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</si>
  <si>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</si>
  <si>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</si>
  <si>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</si>
  <si>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</si>
  <si>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</si>
  <si>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</si>
  <si>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</si>
  <si>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</si>
  <si>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</si>
  <si>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</si>
  <si>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</si>
  <si>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</si>
  <si>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</si>
  <si>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</si>
  <si>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</si>
  <si>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</si>
  <si>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</si>
  <si>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</si>
  <si>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</si>
  <si>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</si>
  <si>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</si>
  <si>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</si>
  <si>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</si>
  <si>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</si>
  <si>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</si>
  <si>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</si>
  <si>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</si>
  <si>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</si>
  <si>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</si>
  <si>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</si>
  <si>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</si>
  <si>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</si>
  <si>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</si>
  <si>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</si>
  <si>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</si>
  <si>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</si>
  <si>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</si>
  <si>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</si>
  <si>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</si>
  <si>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</si>
  <si>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</si>
  <si>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</si>
  <si>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</si>
  <si>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</si>
  <si>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</si>
  <si>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</si>
  <si>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</si>
  <si>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</si>
  <si>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</si>
  <si>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</si>
  <si>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</si>
  <si>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</si>
  <si>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</si>
  <si>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</si>
  <si>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</si>
  <si>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</si>
  <si>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</si>
  <si>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</si>
  <si>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</si>
  <si>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</si>
  <si>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</si>
  <si>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</si>
  <si>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</si>
  <si>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</si>
  <si>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</si>
  <si>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</si>
  <si>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</si>
  <si>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</si>
  <si>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</si>
  <si>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</si>
  <si>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</si>
  <si>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</si>
  <si>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</si>
  <si>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</si>
  <si>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</si>
  <si>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</si>
  <si>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</si>
  <si>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</si>
  <si>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</si>
  <si>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</si>
  <si>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</si>
  <si>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</si>
  <si>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</si>
  <si>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</si>
  <si>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</si>
  <si>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</si>
  <si>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</si>
  <si>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</si>
  <si>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</si>
  <si>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</si>
  <si>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</si>
  <si>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</si>
  <si>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</si>
  <si>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</si>
  <si>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</si>
  <si>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</si>
  <si>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</si>
  <si>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</si>
  <si>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</si>
  <si>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</si>
  <si>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</si>
  <si>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</si>
  <si>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</si>
  <si>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</si>
  <si>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</si>
  <si>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</si>
  <si>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</si>
  <si>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</si>
  <si>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</si>
  <si>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</si>
  <si>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</si>
  <si>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</si>
  <si>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</si>
  <si>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</si>
  <si>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</si>
  <si>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</si>
  <si>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</si>
  <si>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</si>
  <si>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</si>
  <si>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</si>
  <si>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</si>
  <si>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</si>
  <si>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</si>
  <si>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</si>
  <si>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</si>
  <si>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</si>
  <si>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</si>
  <si>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</si>
  <si>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</si>
  <si>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</si>
  <si>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</si>
  <si>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</si>
  <si>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</si>
  <si>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</si>
  <si>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</si>
  <si>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</si>
  <si>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</si>
  <si>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</si>
  <si>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</si>
  <si>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</si>
  <si>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</si>
  <si>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</si>
  <si>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</si>
  <si>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</si>
  <si>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</si>
  <si>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</si>
  <si>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</si>
  <si>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</si>
  <si>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</si>
  <si>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</si>
  <si>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</si>
  <si>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</si>
  <si>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</si>
  <si>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</si>
  <si>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</si>
  <si>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</si>
  <si>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</si>
  <si>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</si>
  <si>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</si>
  <si>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</si>
  <si>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</si>
  <si>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</si>
  <si>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</si>
  <si>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</si>
  <si>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</si>
  <si>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</si>
  <si>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</si>
  <si>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</si>
  <si>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</si>
  <si>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</si>
  <si>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</si>
  <si>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</si>
  <si>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</si>
  <si>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</si>
  <si>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</si>
  <si>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</si>
  <si>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</si>
  <si>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</si>
  <si>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</si>
  <si>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</si>
  <si>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</si>
  <si>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</si>
  <si>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</si>
  <si>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</si>
  <si>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</si>
  <si>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</si>
  <si>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</si>
  <si>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</si>
  <si>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</si>
  <si>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</si>
  <si>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</si>
  <si>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</si>
  <si>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</si>
  <si>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</si>
  <si>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</si>
  <si>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</si>
  <si>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</si>
  <si>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</si>
  <si>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</si>
  <si>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</si>
  <si>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</si>
  <si>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</si>
  <si>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</si>
  <si>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</si>
  <si>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</si>
  <si>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</si>
  <si>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</si>
  <si>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</si>
  <si>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</si>
  <si>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</si>
  <si>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</si>
  <si>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</si>
  <si>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</si>
  <si>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</si>
  <si>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</si>
  <si>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</si>
  <si>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</si>
  <si>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</si>
  <si>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</si>
  <si>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</si>
  <si>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</si>
  <si>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</si>
  <si>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</si>
  <si>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</si>
  <si>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</si>
  <si>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</si>
  <si>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</si>
  <si>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</si>
  <si>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</si>
  <si>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</si>
  <si>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</si>
  <si>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</si>
  <si>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</si>
  <si>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</si>
  <si>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</si>
  <si>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</si>
  <si>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</si>
  <si>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</si>
  <si>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</si>
  <si>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</si>
  <si>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</si>
  <si>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</si>
  <si>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</si>
  <si>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</si>
  <si>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</si>
  <si>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</si>
  <si>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</si>
  <si>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</si>
  <si>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</si>
  <si>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</si>
  <si>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</si>
  <si>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</si>
  <si>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</si>
  <si>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</si>
  <si>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</si>
  <si>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</si>
  <si>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</si>
  <si>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</si>
  <si>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</si>
  <si>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</si>
  <si>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</si>
  <si>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</si>
  <si>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</si>
  <si>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</si>
  <si>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</si>
  <si>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</si>
  <si>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</si>
  <si>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</si>
  <si>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</si>
  <si>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</si>
  <si>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</si>
  <si>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</si>
  <si>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</si>
  <si>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</si>
  <si>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</si>
  <si>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</si>
  <si>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</si>
  <si>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</si>
  <si>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</si>
  <si>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</si>
  <si>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</si>
  <si>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</si>
  <si>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</si>
  <si>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</si>
  <si>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</si>
  <si>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</si>
  <si>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</si>
  <si>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</si>
  <si>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</si>
  <si>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</si>
  <si>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</si>
  <si>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</si>
  <si>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</si>
  <si>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</si>
  <si>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</si>
  <si>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</si>
  <si>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</si>
  <si>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</si>
  <si>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</si>
  <si>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</si>
  <si>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</si>
  <si>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</si>
  <si>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</si>
  <si>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</si>
  <si>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</si>
  <si>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</si>
  <si>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</si>
  <si>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</si>
  <si>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</si>
  <si>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</si>
  <si>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</si>
  <si>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</si>
  <si>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</si>
  <si>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</si>
  <si>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</si>
  <si>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</si>
  <si>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</si>
  <si>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</si>
  <si>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</si>
  <si>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</si>
  <si>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</si>
  <si>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</si>
  <si>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</si>
  <si>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</si>
  <si>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</si>
  <si>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</si>
  <si>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</si>
  <si>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</si>
  <si>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</si>
  <si>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</si>
  <si>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</si>
  <si>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</si>
  <si>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</si>
  <si>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</si>
  <si>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</si>
  <si>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</si>
  <si>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</si>
  <si>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</si>
  <si>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</si>
  <si>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</si>
  <si>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</si>
  <si>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</si>
  <si>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</si>
  <si>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</si>
  <si>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</si>
  <si>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</si>
  <si>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</si>
  <si>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</si>
  <si>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</si>
  <si>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</si>
  <si>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</si>
  <si>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</si>
  <si>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</si>
  <si>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</si>
  <si>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</si>
  <si>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</si>
  <si>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</si>
  <si>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</si>
  <si>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</si>
  <si>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</si>
  <si>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</si>
  <si>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</si>
  <si>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</si>
  <si>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</si>
  <si>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</si>
  <si>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</si>
  <si>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</si>
  <si>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</si>
  <si>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</si>
  <si>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</si>
  <si>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</si>
  <si>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</si>
  <si>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</si>
  <si>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</si>
  <si>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</si>
  <si>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</si>
  <si>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</si>
  <si>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</si>
  <si>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</si>
  <si>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</si>
  <si>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</si>
  <si>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</si>
  <si>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</si>
  <si>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</si>
  <si>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</si>
  <si>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</si>
  <si>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</si>
  <si>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</si>
  <si>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</si>
  <si>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</si>
  <si>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</si>
  <si>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</si>
  <si>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</si>
  <si>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</si>
  <si>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</si>
  <si>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</si>
  <si>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</si>
  <si>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</si>
  <si>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</si>
  <si>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</si>
  <si>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</si>
  <si>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</si>
  <si>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</si>
  <si>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</si>
  <si>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</si>
  <si>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</si>
  <si>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</si>
  <si>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</si>
  <si>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</si>
  <si>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</si>
  <si>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</si>
  <si>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</si>
  <si>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</si>
  <si>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</si>
  <si>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</si>
  <si>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</si>
  <si>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</si>
  <si>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</si>
  <si>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</si>
  <si>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</si>
  <si>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</si>
  <si>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</si>
  <si>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</si>
  <si>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</si>
  <si>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</si>
  <si>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</si>
  <si>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</si>
  <si>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</si>
  <si>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</si>
  <si>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</si>
  <si>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</si>
  <si>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</si>
  <si>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</si>
  <si>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</si>
  <si>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</si>
  <si>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</si>
  <si>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</si>
  <si>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</si>
  <si>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</si>
  <si>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</si>
  <si>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</si>
  <si>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</si>
  <si>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</si>
  <si>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</si>
  <si>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</si>
  <si>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</si>
  <si>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</si>
  <si>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</si>
  <si>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</si>
  <si>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</si>
  <si>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</si>
  <si>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</si>
  <si>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</si>
  <si>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</si>
  <si>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</si>
  <si>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</si>
  <si>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</si>
  <si>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</si>
  <si>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</si>
  <si>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</si>
  <si>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</si>
  <si>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</si>
  <si>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</si>
  <si>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</si>
  <si>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</si>
  <si>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</si>
  <si>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</si>
  <si>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</si>
  <si>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</si>
  <si>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</si>
  <si>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</si>
  <si>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</si>
  <si>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</si>
  <si>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</si>
  <si>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</si>
  <si>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</si>
  <si>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</si>
  <si>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</si>
  <si>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</si>
  <si>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</si>
  <si>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</si>
  <si>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</si>
  <si>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</si>
  <si>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</si>
  <si>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</si>
  <si>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</si>
  <si>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</si>
  <si>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</si>
  <si>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</si>
  <si>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</si>
  <si>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</si>
  <si>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</si>
  <si>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</si>
  <si>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</si>
  <si>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</si>
  <si>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</si>
  <si>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</si>
  <si>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</si>
  <si>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</si>
  <si>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</si>
  <si>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</si>
  <si>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</si>
  <si>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</si>
  <si>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</si>
  <si>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</si>
  <si>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</si>
  <si>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</si>
  <si>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</si>
  <si>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</si>
  <si>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</si>
  <si>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</si>
  <si>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</si>
  <si>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</si>
  <si>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</si>
  <si>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</si>
  <si>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</si>
  <si>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</si>
  <si>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</si>
  <si>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</si>
  <si>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</si>
  <si>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</si>
  <si>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</si>
  <si>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</si>
  <si>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</si>
  <si>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</si>
  <si>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</si>
  <si>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</si>
  <si>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</si>
  <si>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</si>
  <si>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</si>
  <si>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</si>
  <si>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</si>
  <si>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</si>
  <si>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</si>
  <si>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</si>
  <si>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</si>
  <si>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</si>
  <si>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</si>
  <si>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</si>
  <si>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</si>
  <si>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</si>
  <si>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</si>
  <si>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</si>
  <si>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</si>
  <si>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</si>
  <si>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</si>
  <si>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</si>
  <si>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</si>
  <si>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</si>
  <si>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</si>
  <si>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</si>
  <si>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</si>
  <si>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</si>
  <si>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</si>
  <si>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</si>
  <si>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</si>
  <si>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</si>
  <si>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</si>
  <si>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</si>
  <si>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</si>
  <si>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</si>
  <si>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</si>
  <si>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</si>
  <si>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</si>
  <si>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</si>
  <si>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</si>
  <si>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</si>
  <si>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</si>
  <si>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</si>
  <si>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</si>
  <si>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</si>
  <si>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</si>
  <si>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</si>
  <si>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</si>
  <si>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</si>
  <si>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</si>
  <si>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</si>
  <si>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</si>
  <si>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</si>
  <si>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</si>
  <si>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</si>
  <si>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</si>
  <si>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</si>
  <si>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</si>
  <si>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</si>
  <si>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</si>
  <si>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</si>
  <si>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</si>
  <si>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</si>
  <si>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</si>
  <si>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</si>
  <si>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</si>
  <si>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</si>
  <si>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</si>
  <si>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</si>
  <si>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</si>
  <si>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</si>
  <si>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</si>
  <si>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</si>
  <si>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</si>
  <si>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</si>
  <si>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</si>
  <si>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</si>
  <si>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</si>
  <si>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</si>
  <si>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</si>
  <si>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</si>
  <si>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</si>
  <si>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</si>
  <si>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</si>
  <si>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</si>
  <si>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</si>
  <si>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</si>
  <si>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</si>
  <si>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</si>
  <si>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</si>
  <si>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</si>
  <si>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</si>
  <si>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</si>
  <si>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</si>
  <si>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</si>
  <si>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</si>
  <si>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</si>
  <si>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</si>
  <si>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</si>
  <si>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</si>
  <si>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</si>
  <si>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</si>
  <si>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</si>
  <si>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</si>
  <si>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</si>
  <si>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</si>
  <si>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</si>
  <si>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</si>
  <si>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</si>
  <si>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</si>
  <si>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</si>
  <si>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</si>
  <si>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</si>
  <si>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</si>
  <si>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</si>
  <si>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</si>
  <si>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</si>
  <si>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</si>
  <si>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</si>
  <si>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</si>
  <si>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</si>
  <si>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</si>
  <si>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</si>
  <si>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</si>
  <si>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</si>
  <si>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</si>
  <si>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</si>
  <si>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</si>
  <si>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</si>
  <si>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</si>
  <si>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</si>
  <si>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</si>
  <si>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</si>
  <si>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</si>
  <si>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</si>
  <si>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</si>
  <si>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</si>
  <si>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</si>
  <si>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</si>
  <si>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</si>
  <si>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</si>
  <si>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</si>
  <si>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</si>
  <si>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</si>
  <si>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</si>
  <si>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</si>
  <si>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</si>
  <si>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</si>
  <si>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</si>
  <si>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</si>
  <si>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</si>
  <si>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</si>
  <si>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</si>
  <si>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</si>
  <si>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</si>
  <si>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</si>
  <si>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</si>
  <si>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</si>
  <si>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</si>
  <si>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</si>
  <si>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</si>
  <si>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</si>
  <si>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</si>
  <si>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</si>
  <si>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</si>
  <si>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</si>
  <si>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</si>
  <si>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</si>
  <si>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</si>
  <si>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</si>
  <si>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</si>
  <si>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</si>
  <si>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</si>
  <si>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</si>
  <si>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</si>
  <si>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</si>
  <si>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</si>
  <si>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</si>
  <si>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</si>
  <si>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</si>
  <si>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</si>
  <si>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</si>
  <si>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</si>
  <si>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</si>
  <si>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</si>
  <si>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</si>
  <si>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</si>
  <si>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</si>
  <si>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</si>
  <si>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</si>
  <si>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</si>
  <si>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</si>
  <si>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</si>
  <si>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</si>
  <si>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</si>
  <si>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</si>
  <si>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</si>
  <si>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</si>
  <si>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</si>
  <si>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</si>
  <si>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</si>
  <si>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</si>
  <si>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</si>
  <si>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</si>
  <si>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</si>
  <si>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</si>
  <si>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</si>
  <si>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</si>
  <si>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</si>
  <si>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</si>
  <si>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</si>
  <si>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</si>
  <si>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</si>
  <si>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</si>
  <si>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</si>
  <si>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</si>
  <si>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</si>
  <si>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</si>
  <si>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</si>
  <si>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</si>
  <si>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</si>
  <si>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</si>
  <si>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</si>
  <si>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</si>
  <si>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</si>
  <si>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</si>
  <si>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</si>
  <si>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</si>
  <si>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</si>
  <si>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</si>
  <si>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</si>
  <si>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</si>
  <si>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</si>
  <si>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</si>
  <si>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</si>
  <si>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</si>
  <si>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</si>
  <si>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</si>
  <si>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</si>
  <si>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</si>
  <si>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</si>
  <si>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</si>
  <si>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</si>
  <si>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</si>
  <si>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</si>
  <si>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</si>
  <si>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</si>
  <si>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</si>
  <si>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</si>
  <si>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</si>
  <si>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</si>
  <si>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</si>
  <si>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</si>
  <si>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</si>
  <si>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</si>
  <si>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</si>
  <si>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</si>
  <si>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</si>
  <si>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</si>
  <si>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</si>
  <si>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</si>
  <si>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</si>
  <si>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</si>
  <si>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</si>
  <si>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</si>
  <si>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</si>
  <si>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</si>
  <si>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</si>
  <si>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</si>
  <si>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</si>
  <si>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</si>
  <si>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</si>
  <si>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</si>
  <si>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</si>
  <si>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</si>
  <si>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</si>
  <si>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</si>
  <si>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</si>
  <si>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</si>
  <si>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</si>
  <si>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</si>
  <si>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</si>
  <si>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</si>
  <si>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</si>
  <si>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</si>
  <si>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</si>
  <si>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</si>
  <si>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</si>
  <si>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</si>
  <si>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</si>
  <si>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</si>
  <si>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</si>
  <si>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</si>
  <si>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</si>
  <si>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</si>
  <si>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</si>
  <si>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</si>
  <si>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</si>
  <si>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</si>
  <si>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</si>
  <si>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</si>
  <si>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</si>
  <si>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</si>
  <si>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</si>
  <si>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</si>
  <si>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</si>
  <si>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</si>
  <si>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</si>
  <si>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</si>
  <si>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</si>
  <si>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</si>
  <si>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</si>
  <si>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</si>
  <si>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</si>
  <si>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</si>
  <si>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</si>
  <si>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</si>
  <si>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</si>
  <si>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</si>
  <si>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</si>
  <si>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</si>
  <si>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</si>
  <si>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</si>
  <si>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</si>
  <si>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</si>
  <si>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</si>
  <si>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</si>
  <si>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</si>
  <si>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</si>
  <si>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</si>
  <si>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</si>
  <si>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</si>
  <si>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</si>
  <si>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</si>
  <si>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</si>
  <si>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</si>
  <si>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</si>
  <si>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</si>
  <si>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</si>
  <si>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</si>
  <si>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</si>
  <si>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</si>
  <si>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</si>
  <si>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</si>
  <si>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</si>
  <si>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</si>
  <si>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</si>
  <si>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</si>
  <si>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</si>
  <si>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</si>
  <si>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</si>
  <si>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</si>
  <si>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</si>
  <si>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</si>
  <si>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</si>
  <si>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</si>
  <si>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</si>
  <si>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</si>
  <si>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</si>
  <si>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</si>
  <si>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</si>
  <si>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</si>
  <si>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</si>
  <si>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</si>
  <si>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</si>
  <si>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</si>
  <si>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</si>
  <si>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</si>
  <si>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</si>
  <si>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</si>
  <si>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</si>
  <si>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</si>
  <si>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</si>
  <si>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</si>
  <si>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</si>
  <si>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</si>
  <si>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</si>
  <si>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</si>
  <si>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</si>
  <si>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</si>
  <si>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</si>
  <si>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</si>
  <si>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</si>
  <si>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</si>
  <si>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</si>
  <si>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</si>
  <si>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</si>
  <si>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</si>
  <si>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</si>
  <si>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</si>
  <si>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</si>
  <si>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</si>
  <si>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</si>
  <si>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</si>
  <si>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</si>
  <si>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</si>
  <si>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</si>
  <si>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</si>
  <si>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</si>
  <si>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</si>
  <si>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</si>
  <si>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</si>
  <si>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</si>
  <si>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</si>
  <si>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</si>
  <si>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</si>
  <si>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</si>
  <si>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</si>
  <si>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</si>
  <si>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</si>
  <si>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</si>
  <si>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</si>
  <si>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</si>
  <si>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</si>
  <si>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</si>
  <si>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</si>
  <si>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</si>
  <si>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</si>
  <si>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</si>
  <si>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</si>
  <si>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</si>
  <si>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</si>
  <si>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</si>
  <si>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</si>
  <si>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</si>
  <si>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</si>
  <si>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</si>
  <si>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</si>
  <si>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</si>
  <si>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</si>
  <si>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</si>
  <si>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</si>
  <si>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</si>
  <si>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</si>
  <si>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</si>
  <si>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</si>
  <si>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</si>
  <si>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</si>
  <si>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</si>
  <si>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</si>
  <si>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</si>
  <si>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</si>
  <si>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</si>
  <si>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</si>
  <si>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</si>
  <si>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</si>
  <si>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</si>
  <si>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</si>
  <si>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</si>
  <si>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</si>
  <si>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</si>
  <si>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</si>
  <si>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</si>
  <si>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</si>
  <si>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</si>
  <si>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</si>
  <si>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</si>
  <si>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</si>
  <si>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</si>
  <si>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</si>
  <si>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</si>
  <si>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</si>
  <si>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</si>
  <si>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</si>
  <si>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</si>
  <si>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</si>
  <si>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</si>
  <si>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</si>
  <si>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</si>
  <si>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</si>
  <si>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</si>
  <si>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</si>
  <si>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</si>
  <si>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</si>
  <si>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</si>
  <si>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</si>
  <si>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</si>
  <si>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</si>
  <si>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</si>
  <si>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</si>
  <si>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</si>
  <si>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</si>
  <si>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</si>
  <si>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</si>
  <si>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</si>
  <si>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</si>
  <si>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</si>
  <si>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</si>
  <si>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</si>
  <si>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</si>
  <si>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</si>
  <si>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</si>
  <si>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</si>
  <si>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</si>
  <si>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</si>
  <si>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</si>
  <si>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</si>
  <si>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</si>
  <si>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</si>
  <si>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</si>
  <si>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</si>
  <si>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</si>
  <si>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</si>
  <si>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</si>
  <si>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</si>
  <si>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</si>
  <si>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</si>
  <si>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</si>
  <si>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</si>
  <si>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</si>
  <si>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</si>
  <si>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</si>
  <si>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</si>
  <si>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</si>
  <si>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</si>
  <si>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</si>
  <si>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</si>
  <si>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</si>
  <si>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</si>
  <si>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</si>
  <si>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</si>
  <si>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</si>
  <si>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</si>
  <si>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</si>
  <si>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</si>
  <si>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</si>
  <si>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</si>
  <si>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</si>
  <si>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</si>
  <si>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</si>
  <si>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</si>
  <si>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</si>
  <si>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</si>
  <si>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</si>
  <si>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</si>
  <si>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</si>
  <si>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</si>
  <si>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</si>
  <si>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</si>
  <si>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</si>
  <si>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</si>
  <si>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</si>
  <si>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</si>
  <si>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</si>
  <si>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</si>
  <si>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</si>
  <si>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</si>
  <si>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</si>
  <si>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</si>
  <si>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</si>
  <si>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</si>
  <si>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</si>
  <si>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</si>
  <si>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</si>
  <si>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</si>
  <si>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</si>
  <si>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</si>
  <si>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</si>
  <si>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</si>
  <si>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</si>
  <si>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</si>
  <si>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</si>
  <si>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</si>
  <si>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</si>
  <si>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</si>
  <si>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</si>
  <si>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</si>
  <si>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</si>
  <si>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</si>
  <si>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</si>
  <si>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</si>
  <si>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</si>
  <si>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</si>
  <si>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</si>
  <si>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</si>
  <si>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</si>
  <si>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</si>
  <si>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</si>
  <si>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</si>
  <si>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</si>
  <si>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</si>
  <si>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</si>
  <si>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</si>
  <si>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</si>
  <si>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</si>
  <si>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</si>
  <si>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</si>
  <si>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</si>
  <si>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</si>
  <si>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</si>
  <si>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</si>
  <si>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</si>
  <si>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</si>
  <si>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</si>
  <si>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</si>
  <si>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</si>
  <si>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</si>
  <si>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</si>
  <si>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</si>
  <si>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</si>
  <si>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</si>
  <si>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</si>
  <si>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</si>
  <si>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</si>
  <si>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</si>
  <si>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</si>
  <si>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</si>
  <si>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</si>
  <si>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</si>
  <si>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</si>
  <si>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</si>
  <si>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</si>
  <si>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</si>
  <si>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</si>
  <si>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</si>
  <si>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</si>
  <si>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</si>
  <si>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</si>
  <si>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</si>
  <si>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</si>
  <si>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</si>
  <si>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</si>
  <si>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</si>
  <si>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</si>
  <si>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</si>
  <si>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</si>
  <si>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</si>
  <si>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</si>
  <si>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</si>
  <si>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</si>
  <si>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</si>
  <si>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</si>
  <si>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</si>
  <si>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</si>
  <si>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</si>
  <si>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</si>
  <si>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</si>
  <si>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</si>
  <si>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</si>
  <si>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</si>
  <si>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</si>
  <si>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</si>
  <si>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</si>
  <si>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</si>
  <si>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</si>
  <si>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</si>
  <si>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</si>
  <si>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</si>
  <si>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</si>
  <si>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</si>
  <si>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</si>
  <si>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</si>
  <si>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</si>
  <si>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</si>
  <si>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</si>
  <si>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</si>
  <si>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</si>
  <si>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</si>
  <si>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</si>
  <si>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</si>
  <si>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</si>
  <si>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</si>
  <si>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</si>
  <si>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</si>
  <si>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</si>
  <si>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</si>
  <si>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</si>
  <si>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</si>
  <si>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</si>
  <si>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</si>
  <si>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</si>
  <si>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</si>
  <si>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</si>
  <si>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</si>
  <si>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</si>
  <si>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</si>
  <si>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</si>
  <si>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</si>
  <si>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</si>
  <si>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</si>
  <si>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</si>
  <si>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</si>
  <si>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</si>
  <si>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</si>
  <si>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</si>
  <si>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</si>
  <si>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</si>
  <si>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</si>
  <si>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</si>
  <si>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</si>
  <si>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</si>
  <si>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</si>
  <si>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</si>
  <si>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</si>
  <si>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</si>
  <si>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</si>
  <si>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</si>
  <si>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</si>
  <si>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</si>
  <si>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</si>
  <si>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</si>
  <si>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</si>
  <si>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</si>
  <si>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</si>
  <si>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</si>
  <si>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</si>
  <si>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</si>
  <si>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</si>
  <si>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</si>
  <si>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</si>
  <si>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</si>
  <si>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</si>
  <si>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</si>
  <si>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</si>
  <si>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</si>
  <si>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</si>
  <si>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</si>
  <si>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</si>
  <si>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</si>
  <si>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</si>
  <si>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</si>
  <si>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</si>
  <si>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</si>
  <si>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</si>
  <si>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</si>
  <si>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</si>
  <si>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</si>
  <si>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</si>
  <si>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</si>
  <si>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</si>
  <si>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</si>
  <si>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</si>
  <si>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</si>
  <si>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</si>
  <si>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</si>
  <si>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</si>
  <si>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</si>
  <si>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</si>
  <si>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</si>
  <si>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</si>
  <si>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</si>
  <si>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</si>
  <si>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</si>
  <si>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</si>
  <si>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</si>
  <si>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</si>
  <si>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</si>
  <si>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</si>
  <si>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</si>
  <si>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</si>
  <si>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</si>
  <si>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</si>
  <si>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</si>
  <si>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</si>
  <si>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</si>
  <si>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</si>
  <si>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</si>
  <si>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</si>
  <si>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</si>
  <si>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</si>
  <si>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</si>
  <si>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</si>
  <si>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</si>
  <si>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</si>
  <si>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</si>
  <si>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</si>
  <si>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</si>
  <si>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</si>
  <si>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</si>
  <si>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</si>
  <si>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</si>
  <si>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</si>
  <si>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</si>
  <si>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</si>
  <si>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</si>
  <si>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</si>
  <si>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</si>
  <si>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</si>
  <si>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</si>
  <si>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</si>
  <si>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</si>
  <si>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</si>
  <si>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</si>
  <si>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</si>
  <si>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</si>
  <si>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</si>
  <si>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</si>
  <si>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</si>
  <si>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</si>
  <si>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</si>
  <si>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</si>
  <si>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</si>
  <si>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</si>
  <si>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</si>
  <si>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</si>
  <si>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</si>
  <si>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</si>
  <si>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</si>
  <si>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</si>
  <si>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</si>
  <si>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</si>
  <si>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</si>
  <si>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</si>
  <si>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</si>
  <si>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</si>
  <si>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</si>
  <si>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</si>
  <si>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</si>
  <si>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</si>
  <si>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</si>
  <si>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</si>
  <si>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</si>
  <si>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</si>
  <si>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</si>
  <si>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</si>
  <si>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</si>
  <si>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</si>
  <si>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</si>
  <si>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</si>
  <si>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</si>
  <si>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</si>
  <si>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</si>
  <si>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</si>
  <si>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</si>
  <si>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</si>
  <si>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</si>
  <si>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</si>
  <si>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</si>
  <si>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</si>
  <si>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</si>
  <si>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</si>
  <si>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</si>
  <si>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</si>
  <si>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</si>
  <si>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</si>
  <si>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</si>
  <si>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</si>
  <si>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</si>
  <si>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</si>
  <si>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</si>
  <si>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</si>
  <si>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</si>
  <si>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</si>
  <si>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</si>
  <si>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</si>
  <si>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</si>
  <si>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</si>
  <si>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</si>
  <si>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</si>
  <si>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</si>
  <si>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</si>
  <si>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</si>
  <si>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</si>
  <si>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</si>
  <si>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</si>
  <si>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</si>
  <si>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</si>
  <si>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</si>
  <si>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</si>
  <si>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</si>
  <si>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</si>
  <si>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</si>
  <si>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</si>
  <si>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</si>
  <si>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</si>
  <si>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</si>
  <si>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</si>
  <si>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</si>
  <si>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</si>
  <si>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</si>
  <si>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</si>
  <si>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</si>
  <si>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</si>
  <si>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</si>
  <si>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</si>
  <si>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</si>
  <si>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</si>
  <si>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</si>
  <si>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</si>
  <si>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</si>
  <si>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</si>
  <si>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</si>
  <si>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</si>
  <si>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</si>
  <si>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</si>
  <si>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</si>
  <si>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</si>
  <si>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</si>
  <si>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</si>
  <si>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</si>
  <si>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</si>
  <si>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</si>
  <si>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</si>
  <si>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</si>
  <si>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</si>
  <si>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</si>
  <si>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</si>
  <si>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</si>
  <si>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</si>
  <si>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</si>
  <si>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</si>
  <si>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</si>
  <si>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</si>
  <si>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</si>
  <si>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</si>
  <si>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</si>
  <si>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</si>
  <si>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</si>
  <si>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</si>
  <si>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</si>
  <si>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</si>
  <si>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</si>
  <si>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</si>
  <si>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</si>
  <si>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</si>
  <si>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</si>
  <si>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</si>
  <si>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</si>
  <si>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</si>
  <si>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</si>
  <si>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</si>
  <si>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</si>
  <si>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</si>
  <si>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</si>
  <si>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</si>
  <si>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</si>
  <si>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</si>
  <si>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</si>
  <si>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</si>
  <si>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</si>
  <si>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</si>
  <si>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</si>
  <si>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</si>
  <si>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</si>
  <si>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</si>
  <si>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</si>
  <si>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</si>
  <si>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</si>
  <si>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</si>
  <si>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</si>
  <si>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</si>
  <si>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</si>
  <si>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</si>
  <si>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</si>
  <si>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</si>
  <si>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</si>
  <si>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</si>
  <si>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</si>
  <si>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</si>
  <si>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</si>
  <si>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</si>
  <si>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</si>
  <si>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</si>
  <si>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</si>
  <si>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</si>
  <si>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</si>
  <si>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</si>
  <si>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</si>
  <si>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</si>
  <si>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</si>
  <si>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</si>
  <si>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</si>
  <si>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</si>
  <si>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</si>
  <si>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</si>
  <si>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</si>
  <si>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</si>
  <si>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</si>
  <si>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</si>
  <si>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</si>
  <si>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</si>
  <si>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</si>
  <si>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</si>
  <si>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</si>
  <si>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</si>
  <si>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</si>
  <si>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</si>
  <si>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</si>
  <si>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</si>
  <si>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</si>
  <si>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</si>
  <si>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</si>
  <si>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</si>
  <si>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</si>
  <si>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</si>
  <si>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</si>
  <si>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</si>
  <si>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</si>
  <si>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</si>
  <si>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</si>
  <si>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</si>
  <si>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</si>
  <si>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</si>
  <si>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</si>
  <si>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</si>
  <si>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</si>
  <si>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</si>
  <si>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</si>
  <si>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</si>
  <si>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</si>
  <si>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</si>
  <si>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</si>
  <si>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</si>
  <si>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</si>
  <si>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</si>
  <si>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</si>
  <si>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</si>
  <si>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</si>
  <si>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</si>
  <si>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</si>
  <si>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</si>
  <si>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</si>
  <si>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</si>
  <si>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</si>
  <si>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</si>
  <si>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</si>
  <si>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</si>
  <si>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</si>
  <si>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</si>
  <si>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</si>
  <si>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</si>
  <si>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</si>
  <si>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</si>
  <si>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</si>
  <si>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</si>
  <si>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</si>
  <si>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</si>
  <si>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</si>
  <si>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</si>
  <si>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</si>
  <si>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</si>
  <si>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</si>
  <si>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</si>
  <si>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</si>
  <si>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</si>
  <si>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</si>
  <si>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</si>
  <si>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</si>
  <si>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</si>
  <si>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</si>
  <si>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</si>
  <si>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</si>
  <si>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</si>
  <si>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</si>
  <si>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</si>
  <si>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</si>
  <si>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</si>
  <si>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</si>
  <si>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</si>
  <si>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</si>
  <si>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</si>
  <si>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</si>
  <si>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</si>
  <si>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</si>
  <si>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</si>
  <si>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</si>
  <si>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</si>
  <si>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</si>
  <si>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</si>
  <si>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</si>
  <si>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</si>
  <si>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</si>
  <si>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</si>
  <si>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</si>
  <si>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</si>
  <si>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</si>
  <si>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</si>
  <si>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</si>
  <si>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</si>
  <si>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</si>
  <si>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</si>
  <si>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</si>
  <si>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</si>
  <si>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</si>
  <si>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</si>
  <si>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</si>
  <si>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</si>
  <si>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</si>
  <si>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</si>
  <si>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</si>
  <si>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</si>
  <si>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</si>
  <si>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</si>
  <si>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</si>
  <si>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</si>
  <si>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</si>
  <si>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</si>
  <si>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</si>
  <si>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</si>
  <si>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</si>
  <si>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</si>
  <si>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</si>
  <si>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</si>
  <si>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</si>
  <si>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</si>
  <si>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</si>
  <si>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</si>
  <si>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</si>
  <si>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</si>
  <si>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</si>
  <si>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</si>
  <si>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</si>
  <si>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</si>
  <si>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</si>
  <si>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</si>
  <si>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</si>
  <si>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</si>
  <si>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</si>
  <si>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</si>
  <si>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</si>
  <si>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</si>
  <si>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</si>
  <si>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</si>
  <si>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</si>
  <si>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</si>
  <si>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</si>
  <si>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</si>
  <si>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</si>
  <si>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</si>
  <si>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</si>
  <si>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</si>
  <si>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</si>
  <si>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</si>
  <si>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</si>
  <si>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</si>
  <si>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</si>
  <si>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</si>
  <si>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</si>
  <si>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</si>
  <si>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</si>
  <si>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</si>
  <si>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</si>
  <si>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</si>
  <si>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</si>
  <si>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</si>
  <si>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</si>
  <si>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</si>
  <si>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</si>
  <si>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</si>
  <si>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</si>
  <si>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</si>
  <si>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</si>
  <si>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</si>
  <si>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</si>
  <si>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</si>
  <si>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</si>
  <si>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</si>
  <si>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</si>
  <si>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</si>
  <si>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</si>
  <si>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</si>
  <si>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</si>
  <si>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</si>
  <si>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</si>
  <si>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</si>
  <si>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</si>
  <si>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</si>
  <si>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</si>
  <si>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</si>
  <si>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</si>
  <si>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</si>
  <si>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</si>
  <si>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</si>
  <si>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</si>
  <si>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</si>
  <si>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</si>
  <si>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</si>
  <si>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</si>
  <si>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</si>
  <si>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</si>
  <si>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</si>
  <si>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</si>
  <si>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</si>
  <si>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</si>
  <si>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</si>
  <si>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</si>
  <si>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</si>
  <si>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</si>
  <si>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</si>
  <si>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</si>
  <si>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</si>
  <si>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</si>
  <si>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</si>
  <si>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</si>
  <si>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</si>
  <si>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</si>
  <si>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</si>
  <si>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</si>
  <si>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</si>
  <si>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</si>
  <si>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</si>
  <si>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</si>
  <si>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</si>
  <si>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</si>
  <si>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</si>
  <si>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</si>
  <si>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</si>
  <si>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</si>
  <si>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</si>
  <si>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</si>
  <si>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</si>
  <si>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</si>
  <si>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</si>
  <si>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</si>
  <si>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</si>
  <si>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</si>
  <si>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</si>
  <si>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</si>
  <si>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</si>
  <si>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</si>
  <si>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</si>
  <si>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</si>
  <si>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</si>
  <si>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</si>
  <si>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</si>
  <si>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</si>
  <si>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</si>
  <si>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</si>
  <si>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</si>
  <si>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</si>
  <si>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</si>
  <si>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</si>
  <si>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</si>
  <si>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</si>
  <si>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</si>
  <si>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</si>
  <si>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</si>
  <si>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</si>
  <si>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</si>
  <si>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</si>
  <si>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</si>
  <si>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</si>
  <si>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</si>
  <si>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</si>
  <si>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</si>
  <si>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</si>
  <si>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</si>
  <si>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</si>
  <si>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</si>
  <si>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</si>
  <si>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</si>
  <si>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</si>
  <si>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</si>
  <si>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</si>
  <si>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</si>
  <si>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</si>
  <si>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</si>
  <si>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</si>
  <si>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</si>
  <si>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</si>
  <si>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</si>
  <si>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</si>
  <si>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</si>
  <si>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</si>
  <si>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</si>
  <si>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</si>
  <si>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</si>
  <si>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</si>
  <si>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</si>
  <si>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</si>
  <si>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</si>
  <si>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</si>
  <si>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</si>
  <si>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</si>
  <si>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</si>
  <si>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</si>
  <si>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</si>
  <si>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</si>
  <si>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</si>
  <si>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</si>
  <si>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</si>
  <si>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</si>
  <si>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</si>
  <si>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</si>
  <si>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</si>
  <si>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</si>
  <si>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</si>
  <si>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</si>
  <si>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</si>
  <si>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</si>
  <si>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</si>
  <si>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</si>
  <si>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</si>
  <si>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</si>
  <si>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</si>
  <si>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</si>
  <si>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</si>
  <si>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</si>
  <si>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</si>
  <si>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</si>
  <si>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</si>
  <si>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</si>
  <si>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</si>
  <si>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</si>
  <si>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</si>
  <si>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</si>
  <si>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</si>
  <si>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</si>
  <si>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</si>
  <si>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</si>
  <si>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</si>
  <si>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</si>
  <si>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</si>
  <si>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</si>
  <si>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</si>
  <si>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</si>
  <si>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</si>
  <si>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</si>
  <si>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</si>
  <si>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</si>
  <si>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</si>
  <si>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</si>
  <si>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</si>
  <si>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</si>
  <si>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</si>
  <si>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</si>
  <si>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</si>
  <si>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</si>
  <si>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</si>
  <si>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</si>
  <si>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</si>
  <si>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</si>
  <si>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</si>
  <si>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</si>
  <si>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</si>
  <si>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</si>
  <si>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</si>
  <si>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</si>
  <si>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</si>
  <si>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</si>
  <si>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</si>
  <si>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</si>
  <si>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</si>
  <si>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</si>
  <si>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</si>
  <si>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</si>
  <si>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</si>
  <si>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</si>
  <si>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</si>
  <si>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</si>
  <si>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</si>
  <si>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</si>
  <si>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</si>
  <si>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</si>
  <si>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</si>
  <si>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</si>
  <si>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</si>
  <si>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</si>
  <si>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</si>
  <si>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</si>
  <si>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</si>
  <si>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</si>
  <si>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</si>
  <si>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</si>
  <si>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</si>
  <si>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</si>
  <si>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</si>
  <si>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</si>
  <si>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</si>
  <si>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</si>
  <si>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</si>
  <si>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</si>
  <si>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</si>
  <si>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</si>
  <si>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</si>
  <si>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</si>
  <si>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</si>
  <si>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</si>
  <si>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</si>
  <si>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</si>
  <si>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</si>
  <si>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</si>
  <si>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</si>
  <si>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</si>
  <si>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</si>
  <si>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</si>
  <si>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</si>
  <si>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</si>
  <si>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</si>
  <si>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</si>
  <si>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</si>
  <si>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</si>
  <si>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</si>
  <si>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</si>
  <si>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</si>
  <si>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</si>
  <si>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</si>
  <si>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</si>
  <si>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</si>
  <si>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</si>
  <si>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</si>
  <si>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</si>
  <si>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</si>
  <si>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</si>
  <si>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</si>
  <si>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</si>
  <si>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</si>
  <si>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</si>
  <si>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</si>
  <si>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</si>
  <si>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</si>
  <si>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</si>
  <si>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</si>
  <si>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</si>
  <si>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</si>
  <si>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</si>
  <si>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</si>
  <si>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</si>
  <si>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</si>
  <si>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</si>
  <si>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</si>
  <si>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</si>
  <si>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</si>
  <si>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</si>
  <si>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</si>
  <si>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</si>
  <si>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</si>
  <si>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</si>
  <si>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</si>
  <si>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</si>
  <si>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</si>
  <si>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</si>
  <si>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</si>
  <si>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</si>
  <si>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</si>
  <si>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</si>
  <si>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</si>
  <si>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</si>
  <si>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</si>
  <si>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</si>
  <si>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</si>
  <si>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</si>
  <si>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</si>
  <si>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</si>
  <si>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</si>
  <si>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</si>
  <si>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</si>
  <si>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</si>
  <si>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</si>
  <si>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</si>
  <si>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</si>
  <si>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</si>
  <si>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</si>
  <si>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</si>
  <si>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</si>
  <si>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</si>
  <si>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</si>
  <si>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</si>
  <si>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</si>
  <si>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</si>
  <si>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</si>
  <si>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</si>
  <si>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</si>
  <si>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</si>
  <si>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</si>
  <si>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</si>
  <si>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</si>
  <si>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</si>
  <si>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</si>
  <si>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</si>
  <si>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</si>
  <si>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</si>
  <si>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</si>
  <si>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</si>
  <si>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</si>
  <si>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</si>
  <si>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</si>
  <si>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</si>
  <si>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</si>
  <si>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</si>
  <si>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</si>
  <si>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</si>
  <si>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</si>
  <si>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</si>
  <si>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</si>
  <si>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</si>
  <si>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</si>
  <si>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</si>
  <si>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</si>
  <si>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</si>
  <si>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</si>
  <si>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</si>
  <si>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</si>
  <si>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</si>
  <si>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</si>
  <si>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</si>
  <si>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</si>
  <si>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</si>
  <si>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</si>
  <si>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</si>
  <si>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</si>
  <si>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</si>
  <si>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</si>
  <si>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</si>
  <si>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</si>
  <si>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</si>
  <si>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</si>
  <si>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</si>
  <si>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</si>
  <si>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</si>
  <si>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</si>
  <si>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</si>
  <si>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</si>
  <si>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</si>
  <si>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</si>
  <si>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</si>
  <si>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</si>
  <si>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</si>
  <si>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</si>
  <si>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</si>
  <si>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</si>
  <si>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</si>
  <si>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</si>
  <si>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</si>
  <si>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</si>
  <si>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</si>
  <si>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</si>
  <si>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</si>
  <si>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</si>
  <si>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</si>
  <si>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</si>
  <si>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</si>
  <si>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</si>
  <si>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</si>
  <si>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</si>
  <si>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</si>
  <si>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</si>
  <si>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</si>
  <si>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</si>
  <si>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</si>
  <si>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</si>
  <si>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</si>
  <si>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</si>
  <si>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</si>
  <si>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</si>
  <si>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</si>
  <si>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</si>
  <si>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</si>
  <si>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</si>
  <si>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</si>
  <si>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</si>
  <si>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</si>
  <si>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</si>
  <si>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</si>
  <si>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</si>
  <si>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</si>
  <si>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</si>
  <si>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</si>
  <si>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</si>
  <si>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</si>
  <si>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</si>
  <si>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</si>
  <si>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</si>
  <si>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</si>
  <si>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</si>
  <si>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</si>
  <si>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</si>
  <si>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</si>
  <si>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</si>
  <si>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</si>
  <si>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</si>
  <si>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</si>
  <si>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</si>
  <si>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</si>
  <si>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</si>
  <si>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</si>
  <si>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</si>
  <si>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</si>
  <si>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</si>
  <si>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</si>
  <si>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</si>
  <si>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</si>
  <si>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</si>
  <si>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</si>
  <si>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</si>
  <si>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</si>
  <si>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</si>
  <si>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</si>
  <si>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</si>
  <si>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</si>
  <si>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</si>
  <si>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</si>
  <si>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</si>
  <si>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</si>
  <si>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</si>
  <si>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</si>
  <si>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</si>
  <si>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</si>
  <si>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</si>
  <si>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</si>
  <si>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</si>
  <si>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</si>
  <si>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</si>
  <si>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</si>
  <si>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</si>
  <si>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</si>
  <si>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</si>
  <si>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</si>
  <si>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</si>
  <si>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</si>
  <si>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</si>
  <si>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</si>
  <si>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</si>
  <si>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</si>
  <si>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</si>
  <si>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</si>
  <si>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</si>
  <si>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</si>
  <si>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</si>
  <si>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</si>
  <si>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</si>
  <si>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</si>
  <si>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</si>
  <si>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</si>
  <si>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</si>
  <si>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</si>
  <si>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</si>
  <si>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</si>
  <si>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</si>
  <si>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</si>
  <si>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</si>
  <si>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</si>
  <si>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</si>
  <si>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</si>
  <si>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</si>
  <si>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</si>
  <si>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</si>
  <si>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</si>
  <si>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</si>
  <si>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</si>
  <si>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</si>
  <si>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</si>
  <si>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</si>
  <si>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</si>
  <si>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</si>
  <si>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</si>
  <si>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</si>
  <si>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</si>
  <si>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</si>
  <si>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</si>
  <si>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</si>
  <si>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</si>
  <si>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</si>
  <si>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</si>
  <si>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</si>
  <si>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</si>
  <si>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</si>
  <si>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</si>
  <si>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</si>
  <si>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</si>
  <si>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</si>
  <si>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</si>
  <si>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</si>
  <si>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</si>
  <si>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</si>
  <si>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</si>
  <si>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</si>
  <si>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</si>
  <si>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</si>
  <si>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</si>
  <si>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</si>
  <si>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</si>
  <si>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</si>
  <si>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</si>
  <si>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</si>
  <si>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</si>
  <si>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</si>
  <si>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</si>
  <si>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</si>
  <si>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</si>
  <si>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</si>
  <si>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</si>
  <si>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</si>
  <si>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</si>
  <si>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</si>
  <si>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</si>
  <si>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</si>
  <si>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</si>
  <si>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</si>
  <si>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</si>
  <si>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</si>
  <si>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</si>
  <si>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</si>
  <si>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</si>
  <si>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</si>
  <si>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</si>
  <si>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</si>
  <si>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</si>
  <si>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</si>
  <si>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</si>
  <si>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</si>
  <si>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</si>
  <si>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</si>
  <si>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</si>
  <si>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</si>
  <si>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</si>
  <si>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</si>
  <si>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</si>
  <si>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</si>
  <si>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</si>
  <si>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</si>
  <si>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</si>
  <si>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</si>
  <si>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</si>
  <si>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</si>
  <si>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</si>
  <si>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</si>
  <si>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</si>
  <si>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</si>
  <si>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</si>
  <si>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</si>
  <si>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</si>
  <si>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</si>
  <si>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</si>
  <si>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</si>
  <si>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</si>
  <si>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</si>
  <si>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</si>
  <si>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</si>
  <si>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</si>
  <si>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</si>
  <si>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</si>
  <si>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</si>
  <si>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</si>
  <si>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</si>
  <si>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</si>
  <si>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</si>
  <si>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</si>
  <si>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</si>
  <si>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</si>
  <si>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</si>
  <si>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</si>
  <si>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</si>
  <si>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</si>
  <si>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</si>
  <si>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</si>
  <si>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</si>
  <si>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</si>
  <si>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</si>
  <si>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</si>
  <si>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</si>
  <si>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</si>
  <si>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</si>
  <si>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</si>
  <si>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</si>
  <si>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</si>
  <si>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</si>
  <si>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</si>
  <si>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</si>
  <si>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</si>
  <si>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</si>
  <si>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</si>
  <si>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</si>
  <si>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</si>
  <si>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</si>
  <si>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</si>
  <si>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</si>
  <si>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</si>
  <si>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</si>
  <si>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</si>
  <si>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</si>
  <si>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</si>
  <si>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</si>
  <si>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</si>
  <si>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</si>
  <si>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</si>
  <si>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</si>
  <si>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</si>
  <si>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</si>
  <si>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</si>
  <si>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</si>
  <si>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</si>
  <si>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</si>
  <si>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</si>
  <si>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</si>
  <si>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</si>
  <si>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</si>
  <si>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</si>
  <si>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</si>
  <si>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</si>
  <si>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</si>
  <si>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</si>
  <si>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</si>
  <si>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</si>
  <si>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</si>
  <si>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</si>
  <si>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</si>
  <si>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</si>
  <si>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</si>
  <si>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</si>
  <si>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</si>
  <si>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</si>
  <si>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</si>
  <si>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</si>
  <si>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</si>
  <si>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</si>
  <si>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</si>
  <si>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</si>
  <si>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</si>
  <si>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</si>
  <si>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</si>
  <si>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</si>
  <si>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</si>
  <si>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</si>
  <si>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</si>
  <si>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</si>
  <si>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</si>
  <si>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</si>
  <si>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</si>
  <si>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</si>
  <si>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</si>
  <si>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</si>
  <si>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</si>
  <si>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</si>
  <si>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</si>
  <si>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</si>
  <si>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</si>
  <si>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</si>
  <si>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</si>
  <si>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</si>
  <si>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</si>
  <si>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</si>
  <si>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</si>
  <si>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</si>
  <si>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</si>
  <si>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</si>
  <si>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</si>
  <si>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</si>
  <si>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</si>
  <si>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</si>
  <si>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</si>
  <si>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</si>
  <si>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</si>
  <si>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</si>
  <si>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</si>
  <si>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</si>
  <si>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</si>
  <si>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</si>
  <si>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</si>
  <si>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</si>
  <si>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</si>
  <si>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</si>
  <si>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</si>
  <si>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</si>
  <si>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</si>
  <si>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</si>
  <si>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</si>
  <si>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</si>
  <si>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</si>
  <si>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</si>
  <si>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</si>
  <si>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</si>
  <si>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</si>
  <si>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</si>
  <si>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</si>
  <si>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</si>
  <si>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</si>
  <si>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</si>
  <si>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</si>
  <si>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</si>
  <si>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</si>
  <si>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</si>
  <si>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</si>
  <si>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</si>
  <si>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</si>
  <si>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</si>
  <si>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</si>
  <si>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</si>
  <si>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</si>
  <si>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</si>
  <si>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</si>
  <si>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</si>
  <si>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</si>
  <si>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</si>
  <si>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</si>
  <si>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</si>
  <si>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</si>
  <si>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</si>
  <si>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</si>
  <si>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</si>
  <si>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</si>
  <si>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</si>
  <si>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</si>
  <si>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</si>
  <si>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</si>
  <si>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</si>
  <si>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</si>
  <si>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</si>
  <si>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</si>
  <si>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</si>
  <si>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</si>
  <si>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</si>
  <si>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</si>
  <si>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</si>
  <si>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</si>
  <si>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</si>
  <si>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</si>
  <si>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</si>
  <si>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</si>
  <si>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</si>
  <si>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</si>
  <si>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</si>
  <si>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</si>
  <si>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</si>
  <si>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</si>
  <si>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</si>
  <si>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</si>
  <si>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</si>
  <si>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</si>
  <si>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</si>
  <si>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</si>
  <si>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</si>
  <si>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</si>
  <si>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</si>
  <si>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</si>
  <si>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</si>
  <si>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</si>
  <si>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</si>
  <si>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</si>
  <si>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</si>
  <si>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</si>
  <si>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</si>
  <si>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</si>
  <si>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</si>
  <si>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</si>
  <si>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</si>
  <si>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</si>
  <si>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</si>
  <si>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</si>
  <si>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</si>
  <si>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</si>
  <si>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</si>
  <si>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</si>
  <si>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</si>
  <si>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</si>
  <si>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</si>
  <si>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</si>
  <si>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</si>
  <si>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</si>
  <si>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</si>
  <si>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</si>
  <si>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</si>
  <si>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</si>
  <si>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</si>
  <si>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</si>
  <si>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</si>
  <si>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</si>
  <si>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</si>
  <si>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</si>
  <si>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</si>
  <si>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</si>
  <si>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</si>
  <si>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</si>
  <si>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</si>
  <si>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</si>
  <si>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</si>
  <si>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</si>
  <si>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</si>
  <si>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</si>
  <si>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</si>
  <si>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</si>
  <si>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</si>
  <si>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</si>
  <si>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</si>
  <si>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</si>
  <si>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</si>
  <si>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</si>
  <si>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</si>
  <si>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</si>
  <si>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</si>
  <si>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</si>
  <si>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</si>
  <si>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</si>
  <si>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</si>
  <si>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</si>
  <si>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</si>
  <si>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</si>
  <si>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</si>
  <si>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</si>
  <si>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</si>
  <si>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</si>
  <si>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</si>
  <si>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</si>
  <si>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</si>
  <si>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</si>
  <si>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</si>
  <si>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</si>
  <si>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</si>
  <si>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</si>
  <si>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</si>
  <si>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</si>
  <si>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</si>
  <si>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</si>
  <si>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</si>
  <si>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</si>
  <si>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</si>
  <si>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</si>
  <si>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</si>
  <si>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</si>
  <si>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</si>
  <si>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</si>
  <si>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</si>
  <si>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</si>
  <si>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</si>
  <si>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</si>
  <si>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</si>
  <si>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</si>
  <si>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</si>
  <si>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</si>
  <si>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</si>
  <si>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</si>
  <si>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</si>
  <si>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</si>
  <si>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</si>
  <si>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</si>
  <si>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</si>
  <si>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</si>
  <si>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</si>
  <si>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</si>
  <si>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</si>
  <si>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</si>
  <si>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</si>
  <si>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</si>
  <si>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</si>
  <si>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</si>
  <si>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</si>
  <si>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</si>
  <si>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</si>
  <si>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</si>
  <si>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</si>
  <si>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</si>
  <si>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</si>
  <si>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</si>
  <si>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</si>
  <si>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</si>
  <si>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</si>
  <si>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</si>
  <si>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</si>
  <si>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</si>
  <si>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</si>
  <si>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</si>
  <si>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</si>
  <si>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</si>
  <si>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</si>
  <si>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</si>
  <si>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</si>
  <si>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</si>
  <si>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</si>
  <si>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</si>
  <si>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</si>
  <si>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</si>
  <si>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</si>
  <si>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</si>
  <si>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</si>
  <si>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</si>
  <si>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</si>
  <si>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</si>
  <si>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</si>
  <si>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</si>
  <si>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</si>
  <si>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</si>
  <si>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</si>
  <si>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</si>
  <si>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</si>
  <si>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</si>
  <si>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</si>
  <si>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</si>
  <si>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</si>
  <si>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</si>
  <si>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</si>
  <si>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</si>
  <si>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</si>
  <si>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</si>
  <si>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</si>
  <si>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</si>
  <si>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</si>
  <si>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</si>
  <si>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</si>
  <si>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</si>
  <si>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</si>
  <si>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</si>
  <si>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</si>
  <si>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</si>
  <si>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</si>
  <si>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</si>
  <si>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</si>
  <si>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</si>
  <si>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</si>
  <si>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</si>
  <si>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</si>
  <si>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</si>
  <si>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</si>
  <si>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</si>
  <si>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</si>
  <si>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</si>
  <si>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</si>
  <si>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</si>
  <si>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</si>
  <si>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</si>
  <si>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</si>
  <si>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</si>
  <si>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</si>
  <si>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</si>
  <si>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</si>
  <si>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</si>
  <si>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</si>
  <si>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</si>
  <si>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</si>
  <si>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</si>
  <si>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</si>
  <si>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</si>
  <si>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</si>
  <si>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</si>
  <si>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</si>
  <si>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</si>
  <si>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</si>
  <si>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</si>
  <si>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</si>
  <si>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</si>
  <si>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</si>
  <si>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</si>
  <si>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</si>
  <si>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</si>
  <si>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</si>
  <si>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</si>
  <si>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</si>
  <si>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</si>
  <si>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</si>
  <si>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</si>
  <si>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</si>
  <si>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</si>
  <si>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</si>
  <si>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</si>
  <si>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</si>
  <si>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</si>
  <si>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</si>
  <si>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</si>
  <si>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</si>
  <si>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</si>
  <si>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</si>
  <si>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</si>
  <si>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</si>
  <si>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</si>
  <si>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</si>
  <si>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</si>
  <si>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</si>
  <si>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</si>
  <si>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</si>
  <si>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</si>
  <si>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</si>
  <si>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</si>
  <si>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</si>
  <si>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</si>
  <si>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</si>
  <si>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</si>
  <si>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</si>
  <si>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</si>
  <si>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</si>
  <si>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</si>
  <si>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</si>
  <si>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</si>
  <si>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</si>
  <si>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</si>
  <si>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</si>
  <si>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</si>
  <si>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</si>
  <si>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</si>
  <si>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</si>
  <si>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</si>
  <si>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</si>
  <si>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</si>
  <si>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</si>
  <si>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</si>
  <si>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</si>
  <si>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</si>
  <si>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</si>
  <si>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</si>
  <si>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</si>
  <si>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</si>
  <si>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</si>
  <si>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</si>
  <si>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</si>
  <si>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</si>
  <si>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</si>
  <si>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</si>
  <si>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</si>
  <si>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</si>
  <si>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</si>
  <si>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</si>
  <si>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</si>
  <si>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</si>
  <si>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</si>
  <si>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</si>
  <si>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</si>
  <si>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</si>
  <si>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</si>
  <si>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</si>
  <si>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</si>
  <si>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</si>
  <si>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</si>
  <si>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</si>
  <si>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</si>
  <si>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</si>
  <si>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</si>
  <si>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</si>
  <si>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</si>
  <si>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</si>
  <si>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</si>
  <si>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</si>
  <si>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</si>
  <si>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</si>
  <si>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</si>
  <si>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</si>
  <si>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</si>
  <si>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</si>
  <si>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</si>
  <si>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</si>
  <si>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</si>
  <si>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</si>
  <si>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</si>
  <si>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</si>
  <si>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</si>
  <si>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</si>
  <si>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</si>
  <si>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</si>
  <si>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</si>
  <si>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</si>
  <si>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</si>
  <si>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</si>
  <si>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</si>
  <si>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</si>
  <si>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</si>
  <si>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</si>
  <si>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</si>
  <si>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</si>
  <si>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</si>
  <si>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</si>
  <si>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</si>
  <si>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</si>
  <si>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</si>
  <si>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</si>
  <si>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</si>
  <si>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</si>
  <si>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</si>
  <si>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</si>
  <si>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</si>
  <si>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</si>
  <si>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</si>
  <si>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</si>
  <si>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</si>
  <si>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</si>
  <si>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</si>
  <si>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</si>
  <si>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</si>
  <si>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</si>
  <si>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</si>
  <si>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</si>
  <si>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</si>
  <si>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</si>
  <si>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</si>
  <si>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</si>
  <si>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</si>
  <si>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</si>
  <si>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</si>
  <si>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</si>
  <si>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</si>
  <si>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</si>
  <si>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</si>
  <si>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</si>
  <si>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</si>
  <si>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</si>
  <si>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</si>
  <si>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</si>
  <si>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</si>
  <si>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</si>
  <si>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</si>
  <si>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</si>
  <si>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</si>
  <si>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</si>
  <si>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</si>
  <si>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</si>
  <si>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</si>
  <si>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</si>
  <si>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</si>
  <si>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</si>
  <si>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</si>
  <si>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</si>
  <si>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</si>
  <si>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</si>
  <si>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</si>
  <si>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</si>
  <si>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</si>
  <si>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</si>
  <si>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</si>
  <si>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</si>
  <si>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</si>
  <si>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</si>
  <si>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</si>
  <si>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</si>
  <si>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</si>
  <si>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</si>
  <si>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</si>
  <si>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</si>
  <si>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</si>
  <si>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</si>
  <si>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</si>
  <si>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</si>
  <si>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</si>
  <si>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</si>
  <si>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</si>
  <si>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</si>
  <si>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</si>
  <si>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</si>
  <si>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</si>
  <si>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</si>
  <si>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</si>
  <si>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</si>
  <si>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</si>
  <si>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</si>
  <si>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</si>
  <si>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</si>
  <si>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</si>
  <si>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</si>
  <si>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</si>
  <si>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</si>
  <si>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</si>
  <si>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</si>
  <si>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</si>
  <si>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</si>
  <si>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</si>
  <si>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</si>
  <si>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</si>
  <si>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</si>
  <si>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</si>
  <si>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</si>
  <si>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</si>
  <si>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</si>
  <si>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</si>
  <si>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</si>
  <si>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</si>
  <si>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</si>
  <si>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</si>
  <si>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</si>
  <si>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</si>
  <si>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</si>
  <si>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</si>
  <si>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</si>
  <si>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</si>
  <si>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</si>
  <si>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</si>
  <si>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</si>
  <si>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</si>
  <si>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</si>
  <si>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</si>
  <si>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</si>
  <si>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</si>
  <si>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</si>
  <si>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</si>
  <si>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</si>
  <si>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</si>
  <si>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</si>
  <si>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</si>
  <si>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</si>
  <si>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</si>
  <si>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</si>
  <si>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</si>
  <si>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</si>
  <si>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</si>
  <si>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</si>
  <si>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</si>
  <si>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</si>
  <si>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</si>
  <si>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</si>
  <si>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</si>
  <si>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</si>
  <si>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</si>
  <si>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</si>
  <si>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</si>
  <si>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</si>
  <si>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</si>
  <si>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</si>
  <si>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</si>
  <si>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</si>
  <si>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</si>
  <si>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</si>
  <si>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</si>
  <si>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</si>
  <si>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</si>
  <si>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</si>
  <si>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</si>
  <si>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</si>
  <si>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</si>
  <si>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</si>
  <si>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</si>
  <si>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</si>
  <si>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</si>
  <si>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</si>
  <si>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</si>
  <si>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</si>
  <si>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</si>
  <si>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</si>
  <si>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</si>
  <si>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</si>
  <si>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</si>
  <si>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</si>
  <si>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</si>
  <si>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</si>
  <si>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</si>
  <si>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</si>
  <si>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</si>
  <si>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</si>
  <si>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</si>
  <si>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</si>
  <si>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</si>
  <si>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</si>
  <si>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</si>
  <si>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</si>
  <si>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</si>
  <si>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</si>
  <si>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</si>
  <si>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</si>
  <si>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</si>
  <si>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</si>
  <si>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</si>
  <si>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</si>
  <si>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</si>
  <si>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</si>
  <si>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</si>
  <si>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</si>
  <si>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</si>
  <si>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</si>
  <si>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</si>
  <si>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</si>
  <si>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</si>
  <si>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</si>
  <si>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</si>
  <si>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</si>
  <si>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</si>
  <si>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</si>
  <si>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</si>
  <si>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</si>
  <si>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</si>
  <si>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</si>
  <si>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</si>
  <si>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</si>
  <si>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</si>
  <si>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</si>
  <si>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</si>
  <si>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</si>
  <si>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</si>
  <si>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</si>
  <si>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</si>
  <si>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</si>
  <si>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</si>
  <si>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</si>
  <si>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</si>
  <si>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</si>
  <si>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</si>
  <si>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</si>
  <si>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</si>
  <si>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</si>
  <si>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</si>
  <si>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</si>
  <si>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</si>
  <si>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</si>
  <si>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</si>
  <si>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</si>
  <si>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</si>
  <si>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</si>
  <si>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</si>
  <si>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</si>
  <si>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</si>
  <si>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</si>
  <si>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</si>
  <si>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</si>
  <si>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</si>
  <si>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</si>
  <si>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</si>
  <si>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</si>
  <si>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</si>
  <si>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</si>
  <si>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</si>
  <si>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</si>
  <si>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</si>
  <si>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</si>
  <si>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</si>
  <si>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</si>
  <si>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</si>
  <si>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</si>
  <si>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</si>
  <si>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</si>
  <si>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</si>
  <si>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</si>
  <si>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</si>
  <si>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</si>
  <si>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</si>
  <si>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</si>
  <si>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</si>
  <si>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</si>
  <si>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</si>
  <si>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</si>
  <si>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</si>
  <si>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</si>
  <si>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</si>
  <si>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</si>
  <si>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</si>
  <si>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</si>
  <si>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</si>
  <si>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</si>
  <si>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</si>
  <si>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</si>
  <si>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</si>
  <si>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</si>
  <si>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</si>
  <si>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</si>
  <si>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</si>
  <si>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</si>
  <si>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</si>
  <si>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</si>
  <si>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</si>
  <si>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</si>
  <si>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</si>
  <si>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</si>
  <si>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</si>
  <si>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</si>
  <si>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</si>
  <si>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</si>
  <si>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</si>
  <si>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</si>
  <si>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</si>
  <si>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</si>
  <si>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</si>
  <si>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</si>
  <si>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</si>
  <si>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</si>
  <si>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</si>
  <si>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</si>
  <si>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</si>
  <si>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</si>
  <si>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</si>
  <si>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</si>
  <si>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</si>
  <si>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</si>
  <si>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</si>
  <si>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</si>
  <si>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</si>
  <si>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</si>
  <si>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</si>
  <si>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</si>
  <si>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</si>
  <si>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</si>
  <si>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</si>
  <si>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</si>
  <si>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</si>
  <si>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</si>
  <si>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</si>
  <si>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</si>
  <si>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</si>
  <si>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</si>
  <si>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</si>
  <si>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</si>
  <si>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</si>
  <si>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</si>
  <si>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</si>
  <si>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</si>
  <si>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</si>
  <si>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</si>
  <si>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</si>
  <si>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</si>
  <si>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</si>
  <si>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</si>
  <si>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</si>
  <si>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</si>
  <si>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</si>
  <si>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</si>
  <si>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</si>
  <si>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</si>
  <si>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</si>
  <si>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</si>
  <si>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</si>
  <si>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</si>
  <si>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</si>
  <si>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</si>
  <si>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</si>
  <si>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</si>
  <si>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</si>
  <si>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</si>
  <si>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</si>
  <si>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</si>
  <si>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</si>
  <si>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</si>
  <si>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</si>
  <si>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</si>
  <si>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</si>
  <si>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</si>
  <si>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</si>
  <si>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</si>
  <si>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</si>
  <si>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</si>
  <si>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</si>
  <si>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</si>
  <si>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</si>
  <si>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</si>
  <si>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</si>
  <si>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</si>
  <si>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</si>
  <si>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</si>
  <si>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</si>
  <si>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</si>
  <si>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</si>
  <si>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</si>
  <si>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</si>
  <si>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</si>
  <si>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</si>
  <si>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</si>
  <si>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</si>
  <si>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</si>
  <si>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</si>
  <si>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</si>
  <si>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</si>
  <si>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</si>
  <si>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</si>
  <si>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</si>
  <si>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</si>
  <si>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</si>
  <si>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</si>
  <si>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</si>
  <si>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</si>
  <si>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</si>
  <si>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</si>
  <si>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</si>
  <si>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</si>
  <si>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</si>
  <si>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</si>
  <si>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</si>
  <si>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</si>
  <si>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</si>
  <si>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</si>
  <si>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</si>
  <si>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</si>
  <si>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</si>
  <si>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</si>
  <si>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</si>
  <si>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</si>
  <si>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</si>
  <si>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</si>
  <si>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</si>
  <si>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</si>
  <si>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</si>
  <si>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</si>
  <si>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</si>
  <si>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</si>
  <si>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</si>
  <si>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</si>
  <si>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</si>
  <si>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</si>
  <si>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</si>
  <si>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</si>
  <si>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</si>
  <si>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</si>
  <si>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</si>
  <si>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</si>
  <si>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</si>
  <si>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</si>
  <si>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</si>
  <si>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</si>
  <si>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</si>
  <si>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</si>
  <si>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</si>
  <si>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</si>
  <si>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</si>
  <si>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</si>
  <si>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</si>
  <si>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</si>
  <si>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</si>
  <si>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</si>
  <si>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</si>
  <si>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</si>
  <si>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</si>
  <si>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</si>
  <si>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</si>
  <si>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</si>
  <si>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</si>
  <si>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</si>
  <si>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</si>
  <si>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</si>
  <si>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</si>
  <si>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</si>
  <si>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</si>
  <si>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</si>
  <si>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</si>
  <si>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</si>
  <si>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</si>
  <si>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</si>
  <si>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</si>
  <si>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</si>
  <si>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</si>
  <si>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</si>
  <si>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</si>
  <si>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</si>
  <si>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</si>
  <si>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</si>
  <si>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</si>
  <si>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</si>
  <si>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</si>
  <si>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</si>
  <si>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</si>
  <si>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</si>
  <si>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</si>
  <si>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</si>
  <si>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</si>
  <si>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</si>
  <si>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</si>
  <si>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</si>
  <si>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</si>
  <si>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</si>
  <si>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</si>
  <si>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</si>
  <si>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</si>
  <si>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</si>
  <si>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</si>
  <si>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</si>
  <si>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</si>
  <si>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</si>
  <si>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</si>
  <si>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</si>
  <si>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</si>
  <si>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</si>
  <si>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</si>
  <si>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</si>
  <si>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</si>
  <si>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</si>
  <si>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</si>
  <si>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</si>
  <si>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</si>
  <si>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</si>
  <si>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</si>
  <si>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</si>
  <si>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</si>
  <si>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</si>
  <si>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</si>
  <si>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</si>
  <si>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</si>
  <si>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</si>
  <si>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</si>
  <si>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</si>
  <si>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</si>
  <si>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</si>
  <si>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</si>
  <si>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</si>
  <si>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</si>
  <si>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</si>
  <si>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</si>
  <si>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</si>
  <si>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</si>
  <si>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</si>
  <si>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</si>
  <si>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</si>
  <si>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</si>
  <si>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</si>
  <si>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</si>
  <si>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</si>
  <si>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</si>
  <si>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</si>
  <si>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</si>
  <si>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</si>
  <si>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</si>
  <si>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</si>
  <si>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</si>
  <si>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</si>
  <si>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</si>
  <si>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</si>
  <si>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</si>
  <si>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</si>
  <si>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</si>
  <si>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</si>
  <si>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</si>
  <si>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</si>
  <si>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</si>
  <si>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</si>
  <si>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</si>
  <si>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</si>
  <si>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</si>
  <si>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</si>
  <si>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</si>
  <si>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</si>
  <si>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</si>
  <si>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</si>
  <si>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</si>
  <si>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</si>
  <si>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</si>
  <si>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</si>
  <si>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</si>
  <si>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</si>
  <si>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</si>
  <si>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</si>
  <si>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</si>
  <si>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</si>
  <si>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</si>
  <si>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</si>
  <si>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</si>
  <si>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</si>
  <si>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</si>
  <si>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</si>
  <si>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</si>
  <si>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</si>
  <si>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</si>
  <si>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</si>
  <si>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</si>
  <si>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</si>
  <si>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</si>
  <si>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</si>
  <si>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</si>
  <si>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</si>
  <si>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</si>
  <si>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</si>
  <si>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</si>
  <si>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</si>
  <si>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</si>
  <si>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</si>
  <si>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</si>
  <si>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</si>
  <si>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</si>
  <si>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</si>
  <si>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</si>
  <si>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</si>
  <si>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</si>
  <si>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</si>
  <si>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</si>
  <si>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</si>
  <si>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</si>
  <si>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</si>
  <si>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</si>
  <si>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</si>
  <si>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</si>
  <si>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</si>
  <si>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</si>
  <si>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</si>
  <si>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</si>
  <si>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</si>
  <si>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</si>
  <si>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</si>
  <si>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</si>
  <si>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</si>
  <si>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</si>
  <si>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</si>
  <si>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</si>
  <si>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</si>
  <si>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</si>
  <si>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</si>
  <si>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</si>
  <si>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</si>
  <si>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</si>
  <si>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</si>
  <si>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</si>
  <si>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</si>
  <si>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</si>
  <si>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</si>
  <si>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</si>
  <si>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</si>
  <si>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</si>
  <si>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</si>
  <si>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</si>
  <si>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</si>
  <si>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</si>
  <si>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</si>
  <si>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</si>
  <si>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</si>
  <si>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</si>
  <si>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</si>
  <si>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</si>
  <si>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</si>
  <si>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</si>
  <si>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</si>
  <si>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</si>
  <si>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</si>
  <si>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</si>
  <si>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</si>
  <si>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</si>
  <si>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</si>
  <si>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</si>
  <si>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</si>
  <si>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</si>
  <si>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</si>
  <si>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</si>
  <si>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</si>
  <si>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</si>
  <si>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</si>
  <si>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</si>
  <si>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</si>
  <si>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</si>
  <si>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</si>
  <si>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</si>
  <si>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</si>
  <si>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</si>
  <si>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</si>
  <si>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</si>
  <si>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</si>
  <si>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</si>
  <si>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</si>
  <si>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</si>
  <si>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</si>
  <si>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</si>
  <si>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</si>
  <si>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</si>
  <si>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</si>
  <si>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</si>
  <si>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</si>
  <si>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</si>
  <si>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</si>
  <si>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</si>
  <si>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</si>
  <si>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</si>
  <si>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</si>
  <si>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</si>
  <si>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</si>
  <si>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</si>
  <si>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</si>
  <si>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</si>
  <si>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</si>
  <si>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</si>
  <si>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</si>
  <si>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</si>
  <si>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</si>
  <si>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</si>
  <si>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</si>
  <si>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</si>
  <si>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</si>
  <si>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</si>
  <si>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</si>
  <si>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</si>
  <si>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</si>
  <si>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</si>
  <si>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</si>
  <si>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</si>
  <si>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</si>
  <si>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</si>
  <si>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</si>
  <si>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</si>
  <si>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</si>
  <si>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</si>
  <si>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</si>
  <si>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</si>
  <si>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</si>
  <si>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</si>
  <si>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</si>
  <si>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</si>
  <si>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</si>
  <si>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</si>
  <si>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</si>
  <si>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</si>
  <si>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</si>
  <si>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</si>
  <si>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</si>
  <si>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</si>
  <si>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</si>
  <si>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</si>
  <si>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</si>
  <si>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</si>
  <si>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</si>
  <si>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</si>
  <si>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</si>
  <si>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</si>
  <si>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</si>
  <si>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</si>
  <si>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</si>
  <si>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</si>
  <si>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</si>
  <si>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</si>
  <si>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</si>
  <si>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</si>
  <si>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</si>
  <si>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</si>
  <si>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</si>
  <si>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</si>
  <si>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</si>
  <si>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</si>
  <si>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</si>
  <si>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</si>
  <si>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</si>
  <si>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</si>
  <si>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</si>
  <si>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</si>
  <si>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</si>
  <si>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</si>
  <si>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</si>
  <si>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</si>
  <si>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</si>
  <si>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</si>
  <si>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</si>
  <si>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</si>
  <si>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</si>
  <si>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</si>
  <si>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</si>
  <si>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</si>
  <si>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</si>
  <si>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</si>
  <si>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</si>
  <si>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</si>
  <si>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</si>
  <si>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</si>
  <si>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</si>
  <si>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</si>
  <si>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</si>
  <si>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</si>
  <si>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</si>
  <si>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</si>
  <si>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</si>
  <si>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</si>
  <si>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</si>
  <si>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</si>
  <si>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</si>
  <si>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</si>
  <si>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</si>
  <si>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</si>
  <si>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</si>
  <si>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</si>
  <si>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</si>
  <si>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</si>
  <si>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</si>
  <si>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</si>
  <si>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</si>
  <si>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</si>
  <si>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</si>
  <si>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</si>
  <si>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</si>
  <si>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</si>
  <si>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</si>
  <si>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</si>
  <si>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</si>
  <si>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</si>
  <si>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</si>
  <si>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</si>
  <si>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</si>
  <si>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</si>
  <si>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</si>
  <si>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</si>
  <si>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</si>
  <si>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</si>
  <si>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</si>
  <si>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</si>
  <si>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</si>
  <si>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</si>
  <si>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</si>
  <si>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</si>
  <si>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</si>
  <si>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</si>
  <si>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</si>
  <si>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</si>
  <si>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</si>
  <si>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</si>
  <si>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</si>
  <si>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</si>
  <si>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</si>
  <si>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</si>
  <si>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</si>
  <si>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</si>
  <si>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</si>
  <si>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</si>
  <si>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</si>
  <si>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</si>
  <si>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</si>
  <si>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</si>
  <si>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</si>
  <si>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</si>
  <si>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</si>
  <si>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</si>
  <si>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</si>
  <si>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</si>
  <si>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</si>
  <si>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</si>
  <si>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</si>
  <si>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</si>
  <si>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</si>
  <si>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</si>
  <si>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</si>
  <si>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</si>
  <si>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</si>
  <si>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</si>
  <si>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</si>
  <si>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</si>
  <si>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</si>
  <si>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</si>
  <si>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</si>
  <si>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</si>
  <si>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</si>
  <si>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</si>
  <si>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</si>
  <si>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</si>
  <si>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</si>
  <si>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</si>
  <si>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</si>
  <si>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</si>
  <si>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</si>
  <si>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</si>
  <si>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</si>
  <si>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</si>
  <si>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</si>
  <si>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</si>
  <si>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</si>
  <si>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</si>
  <si>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</si>
  <si>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</si>
  <si>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</si>
  <si>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</si>
  <si>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</si>
  <si>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</si>
  <si>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</si>
  <si>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</si>
  <si>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</si>
  <si>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</si>
  <si>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</si>
  <si>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</si>
  <si>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</si>
  <si>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</si>
  <si>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</si>
  <si>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</si>
  <si>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</si>
  <si>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</si>
  <si>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</si>
  <si>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</si>
  <si>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</si>
  <si>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</si>
  <si>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</si>
  <si>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</si>
  <si>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</si>
  <si>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</si>
  <si>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</si>
  <si>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</si>
  <si>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</si>
  <si>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</si>
  <si>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</si>
  <si>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</si>
  <si>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</si>
  <si>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</si>
  <si>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</si>
  <si>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</si>
  <si>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</si>
  <si>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</si>
  <si>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</si>
  <si>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</si>
  <si>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</si>
  <si>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</si>
  <si>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</si>
  <si>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</si>
  <si>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</si>
  <si>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</si>
  <si>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</si>
  <si>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</si>
  <si>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</si>
  <si>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</si>
  <si>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</si>
  <si>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</si>
  <si>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</si>
  <si>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</si>
  <si>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</si>
  <si>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</si>
  <si>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</si>
  <si>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</si>
  <si>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</si>
  <si>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</si>
  <si>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</si>
  <si>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</si>
  <si>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</si>
  <si>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</si>
  <si>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</si>
  <si>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</si>
  <si>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</si>
  <si>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</si>
  <si>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</si>
  <si>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</si>
  <si>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</si>
  <si>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</si>
  <si>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</si>
  <si>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</si>
  <si>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</si>
  <si>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</si>
  <si>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</si>
  <si>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</si>
  <si>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</si>
  <si>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</si>
  <si>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</si>
  <si>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</si>
  <si>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</si>
  <si>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</si>
  <si>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</si>
  <si>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</si>
  <si>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</si>
  <si>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</si>
  <si>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</si>
  <si>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</si>
  <si>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</si>
  <si>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</si>
  <si>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</si>
  <si>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</si>
  <si>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</si>
  <si>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</si>
  <si>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</si>
  <si>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</si>
  <si>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</si>
  <si>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</si>
  <si>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</si>
  <si>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</si>
  <si>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</si>
  <si>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</si>
  <si>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</si>
  <si>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</si>
  <si>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</si>
  <si>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</si>
  <si>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</si>
  <si>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</si>
  <si>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</si>
  <si>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</si>
  <si>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</si>
  <si>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</si>
  <si>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</si>
  <si>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</si>
  <si>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</si>
  <si>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</si>
  <si>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</si>
  <si>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</si>
  <si>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</si>
  <si>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</si>
  <si>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</si>
  <si>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</si>
  <si>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</si>
  <si>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</si>
  <si>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</si>
  <si>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</si>
  <si>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</si>
  <si>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</si>
  <si>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</si>
  <si>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</si>
  <si>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</si>
  <si>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</si>
  <si>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</si>
  <si>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</si>
  <si>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</si>
  <si>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</si>
  <si>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</si>
  <si>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</si>
  <si>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</si>
  <si>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</si>
  <si>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</si>
  <si>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</si>
  <si>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</si>
  <si>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</si>
  <si>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</si>
  <si>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</si>
  <si>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</si>
  <si>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</si>
  <si>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</si>
  <si>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</si>
  <si>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</si>
  <si>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</si>
  <si>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</si>
  <si>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</si>
  <si>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</si>
  <si>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</si>
  <si>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</si>
  <si>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</si>
  <si>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</si>
  <si>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</si>
  <si>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</si>
  <si>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</si>
  <si>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</si>
  <si>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</si>
  <si>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</si>
  <si>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</si>
  <si>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</si>
  <si>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</si>
  <si>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</si>
  <si>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</si>
  <si>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</si>
  <si>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</si>
  <si>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</si>
  <si>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</si>
  <si>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</si>
  <si>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</si>
  <si>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</si>
  <si>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</si>
  <si>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</si>
  <si>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</si>
  <si>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</si>
  <si>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</si>
  <si>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</si>
  <si>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</si>
  <si>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</si>
  <si>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</si>
  <si>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</si>
  <si>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</si>
  <si>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</si>
  <si>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</si>
  <si>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</si>
  <si>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</si>
  <si>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</si>
  <si>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</si>
  <si>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</si>
  <si>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</si>
  <si>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</si>
  <si>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</si>
  <si>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</si>
  <si>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</si>
  <si>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</si>
  <si>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</si>
  <si>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</si>
  <si>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</si>
  <si>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</si>
  <si>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</si>
  <si>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</si>
  <si>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</si>
  <si>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</si>
  <si>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</si>
  <si>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</si>
  <si>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</si>
  <si>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</si>
  <si>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</si>
  <si>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</si>
  <si>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</si>
  <si>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</si>
  <si>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</si>
  <si>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</si>
  <si>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</si>
  <si>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</si>
  <si>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</si>
  <si>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</si>
  <si>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</si>
  <si>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</si>
  <si>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</si>
  <si>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</si>
  <si>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</si>
  <si>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</si>
  <si>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</si>
  <si>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</si>
  <si>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</si>
  <si>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</si>
  <si>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</si>
  <si>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</si>
  <si>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</si>
  <si>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</si>
  <si>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</si>
  <si>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</si>
  <si>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</si>
  <si>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</si>
  <si>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</si>
  <si>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</si>
  <si>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</si>
  <si>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</si>
  <si>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</si>
  <si>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</si>
  <si>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</si>
  <si>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</si>
  <si>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</si>
  <si>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</si>
  <si>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</si>
  <si>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</si>
  <si>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</si>
  <si>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</si>
  <si>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</si>
  <si>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</si>
  <si>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</si>
  <si>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</si>
  <si>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</si>
  <si>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</si>
  <si>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</si>
  <si>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</si>
  <si>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</si>
  <si>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</si>
  <si>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</si>
  <si>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</si>
  <si>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</si>
  <si>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</si>
  <si>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</si>
  <si>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</si>
  <si>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</si>
  <si>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</si>
  <si>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</si>
  <si>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</si>
  <si>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</si>
  <si>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</si>
  <si>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</si>
  <si>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</si>
  <si>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</si>
  <si>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</si>
  <si>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</si>
  <si>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</si>
  <si>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</si>
  <si>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</si>
  <si>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</si>
  <si>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</si>
  <si>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</si>
  <si>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</si>
  <si>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</si>
  <si>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</si>
  <si>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</si>
  <si>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</si>
  <si>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</si>
  <si>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</si>
  <si>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</si>
  <si>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</si>
  <si>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</si>
  <si>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</si>
  <si>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</si>
  <si>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</si>
  <si>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</si>
  <si>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</si>
  <si>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</si>
  <si>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</si>
  <si>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</si>
  <si>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</si>
  <si>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</si>
  <si>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</si>
  <si>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</si>
  <si>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</si>
  <si>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</si>
  <si>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</si>
  <si>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</si>
  <si>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</si>
  <si>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</si>
  <si>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</si>
  <si>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</si>
  <si>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</si>
  <si>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</si>
  <si>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</si>
  <si>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</si>
  <si>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</si>
  <si>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</si>
  <si>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</si>
  <si>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</si>
  <si>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</si>
  <si>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</si>
  <si>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</si>
  <si>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</si>
  <si>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</si>
  <si>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</si>
  <si>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</si>
  <si>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</si>
  <si>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</si>
  <si>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</si>
  <si>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</si>
  <si>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</si>
  <si>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</si>
  <si>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</si>
  <si>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</si>
  <si>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</si>
  <si>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</si>
  <si>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</si>
  <si>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</si>
  <si>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</si>
  <si>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</si>
  <si>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</si>
  <si>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</si>
  <si>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</si>
  <si>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</si>
  <si>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</si>
  <si>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</si>
  <si>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</si>
  <si>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</si>
  <si>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</si>
  <si>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</si>
  <si>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</si>
  <si>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</si>
  <si>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</si>
  <si>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</si>
  <si>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</si>
  <si>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</si>
  <si>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</si>
  <si>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</si>
  <si>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</si>
  <si>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</si>
  <si>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</si>
  <si>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</si>
  <si>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</si>
  <si>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</si>
  <si>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</si>
  <si>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</si>
  <si>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</si>
  <si>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</si>
  <si>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</si>
  <si>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</si>
  <si>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</si>
  <si>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</si>
  <si>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</si>
  <si>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</si>
  <si>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</si>
  <si>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</si>
  <si>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</si>
  <si>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</si>
  <si>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</si>
  <si>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</si>
  <si>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</si>
  <si>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</si>
  <si>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</si>
  <si>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</si>
  <si>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</si>
  <si>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</si>
  <si>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</si>
  <si>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</si>
  <si>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</si>
  <si>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</si>
  <si>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</si>
  <si>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</si>
  <si>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</si>
  <si>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</si>
  <si>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</si>
  <si>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</si>
  <si>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</si>
  <si>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</si>
  <si>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</si>
  <si>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</si>
  <si>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</si>
  <si>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</si>
  <si>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</si>
  <si>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</si>
  <si>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</si>
  <si>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</si>
  <si>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</si>
  <si>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</si>
  <si>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</si>
  <si>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</si>
  <si>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</si>
  <si>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</si>
  <si>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</si>
  <si>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</si>
  <si>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</si>
  <si>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</si>
  <si>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</si>
  <si>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</si>
  <si>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</si>
  <si>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</si>
  <si>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</si>
  <si>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</si>
  <si>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</si>
  <si>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</si>
  <si>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</si>
  <si>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</si>
  <si>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</si>
  <si>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</si>
  <si>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</si>
  <si>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</si>
  <si>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</si>
  <si>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</si>
  <si>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</si>
  <si>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</si>
  <si>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</si>
  <si>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</si>
  <si>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</si>
  <si>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</si>
  <si>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</si>
  <si>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</si>
  <si>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</si>
  <si>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</si>
  <si>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</si>
  <si>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</si>
  <si>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</si>
  <si>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</si>
  <si>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</si>
  <si>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</si>
  <si>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</si>
  <si>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</si>
  <si>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</si>
  <si>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</si>
  <si>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</si>
  <si>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</si>
  <si>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</si>
  <si>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</si>
  <si>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</si>
  <si>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</si>
  <si>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</si>
  <si>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</si>
  <si>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</si>
  <si>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</si>
  <si>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</si>
  <si>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</si>
  <si>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</si>
  <si>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</si>
  <si>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</si>
  <si>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</si>
  <si>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</si>
  <si>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</si>
  <si>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</si>
  <si>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</si>
  <si>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</si>
  <si>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</si>
  <si>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</si>
  <si>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</si>
  <si>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</si>
  <si>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</si>
  <si>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</si>
  <si>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</si>
  <si>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</si>
  <si>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</si>
  <si>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</si>
  <si>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</si>
  <si>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</si>
  <si>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</si>
  <si>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</si>
  <si>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</si>
  <si>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</si>
  <si>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</si>
  <si>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</si>
  <si>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</si>
  <si>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</si>
  <si>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</si>
  <si>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</si>
  <si>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</si>
  <si>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</si>
  <si>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</si>
  <si>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</si>
  <si>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</si>
  <si>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</si>
  <si>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</si>
  <si>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</si>
  <si>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</si>
  <si>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</si>
  <si>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</si>
  <si>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</si>
  <si>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</si>
  <si>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</si>
  <si>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</si>
  <si>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</si>
  <si>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</si>
  <si>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</si>
  <si>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</si>
  <si>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</si>
  <si>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</si>
  <si>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</si>
  <si>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</si>
  <si>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</si>
  <si>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</si>
  <si>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</si>
  <si>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</si>
  <si>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</si>
  <si>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</si>
  <si>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</si>
  <si>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</si>
  <si>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</si>
  <si>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</si>
  <si>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</si>
  <si>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</si>
  <si>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</si>
  <si>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</si>
  <si>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</si>
  <si>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</si>
  <si>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</si>
  <si>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</si>
  <si>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</si>
  <si>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</si>
  <si>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</si>
  <si>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</si>
  <si>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</si>
  <si>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</si>
  <si>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</si>
  <si>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</si>
  <si>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</si>
  <si>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</si>
  <si>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</si>
  <si>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</si>
  <si>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</si>
  <si>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</si>
  <si>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</si>
  <si>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</si>
  <si>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</si>
  <si>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</si>
  <si>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</si>
  <si>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</si>
  <si>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</si>
  <si>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</si>
  <si>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</si>
  <si>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</si>
  <si>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</si>
  <si>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</si>
  <si>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</si>
  <si>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</si>
  <si>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</si>
  <si>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</si>
  <si>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</si>
  <si>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</si>
  <si>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</si>
  <si>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</si>
  <si>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</si>
  <si>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</si>
  <si>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</si>
  <si>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</si>
  <si>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</si>
  <si>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</si>
  <si>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</si>
  <si>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</si>
  <si>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</si>
  <si>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</si>
  <si>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</si>
  <si>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</si>
  <si>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</si>
  <si>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</si>
  <si>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</si>
  <si>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</si>
  <si>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</si>
  <si>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</si>
  <si>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</si>
  <si>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</si>
  <si>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</si>
  <si>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</si>
  <si>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</si>
  <si>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</si>
  <si>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</si>
  <si>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</si>
  <si>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</si>
  <si>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</si>
  <si>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</si>
  <si>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</si>
  <si>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</si>
  <si>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</si>
  <si>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</si>
  <si>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</si>
  <si>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</si>
  <si>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</si>
  <si>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</si>
  <si>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</si>
  <si>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</si>
  <si>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</si>
  <si>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</si>
  <si>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</si>
  <si>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</si>
  <si>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</si>
  <si>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</si>
  <si>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</si>
  <si>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</si>
  <si>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</si>
  <si>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</si>
  <si>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</si>
  <si>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</si>
  <si>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</si>
  <si>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</si>
  <si>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</si>
  <si>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</si>
  <si>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</si>
  <si>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</si>
  <si>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</si>
  <si>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</si>
  <si>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</si>
  <si>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</si>
  <si>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</si>
  <si>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</si>
  <si>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</si>
  <si>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</si>
  <si>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</si>
  <si>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</si>
  <si>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</si>
  <si>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</si>
  <si>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</si>
  <si>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</si>
  <si>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</si>
  <si>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</si>
  <si>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</si>
  <si>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</si>
  <si>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</si>
  <si>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</si>
  <si>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</si>
  <si>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</si>
  <si>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</si>
  <si>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</si>
  <si>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</si>
  <si>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</si>
  <si>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</si>
  <si>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</si>
  <si>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</si>
  <si>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</si>
  <si>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</si>
  <si>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</si>
  <si>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</si>
  <si>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</si>
  <si>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</si>
  <si>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</si>
  <si>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</si>
  <si>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</si>
  <si>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</si>
  <si>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</si>
  <si>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</si>
  <si>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</si>
  <si>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</si>
  <si>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</si>
  <si>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</si>
  <si>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</si>
  <si>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</si>
  <si>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</si>
  <si>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</si>
  <si>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</si>
  <si>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</si>
  <si>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</si>
  <si>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</si>
  <si>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</si>
  <si>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</si>
  <si>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</si>
  <si>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</si>
  <si>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</si>
  <si>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</si>
  <si>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</si>
  <si>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</si>
  <si>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</si>
  <si>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</si>
  <si>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</si>
  <si>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</si>
  <si>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</si>
  <si>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</si>
  <si>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</si>
  <si>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</si>
  <si>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</si>
  <si>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</si>
  <si>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</si>
  <si>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</si>
  <si>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</si>
  <si>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</si>
  <si>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</si>
  <si>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</si>
  <si>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</si>
  <si>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</si>
  <si>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</si>
  <si>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</si>
  <si>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</si>
  <si>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</si>
  <si>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</si>
  <si>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</si>
  <si>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</si>
  <si>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</si>
  <si>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</si>
  <si>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</si>
  <si>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</si>
  <si>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</si>
  <si>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</si>
  <si>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</si>
  <si>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</si>
  <si>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</si>
  <si>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</si>
  <si>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</si>
  <si>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</si>
  <si>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</si>
  <si>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</si>
  <si>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</si>
  <si>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</si>
  <si>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</si>
  <si>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</si>
  <si>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</si>
  <si>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</si>
  <si>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</si>
  <si>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</si>
  <si>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</si>
  <si>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</si>
  <si>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</si>
  <si>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</si>
  <si>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</si>
  <si>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</si>
  <si>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</si>
  <si>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</si>
  <si>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</si>
  <si>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</si>
  <si>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</si>
  <si>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</si>
  <si>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</si>
  <si>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</si>
  <si>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</si>
  <si>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</si>
  <si>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</si>
  <si>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</si>
  <si>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</si>
  <si>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</si>
  <si>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</si>
  <si>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</si>
  <si>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</si>
  <si>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</si>
  <si>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</si>
  <si>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</si>
  <si>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</si>
  <si>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</si>
  <si>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</si>
  <si>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</si>
  <si>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</si>
  <si>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</si>
  <si>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</si>
  <si>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</si>
  <si>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</si>
  <si>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</si>
  <si>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</si>
  <si>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</si>
  <si>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</si>
  <si>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</si>
  <si>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</si>
  <si>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</si>
  <si>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</si>
  <si>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</si>
  <si>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</si>
  <si>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</si>
  <si>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</si>
  <si>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</si>
  <si>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</si>
  <si>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</si>
  <si>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</si>
  <si>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</si>
  <si>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</si>
  <si>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</si>
  <si>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</si>
  <si>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</si>
  <si>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</si>
  <si>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</si>
  <si>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</si>
  <si>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</si>
  <si>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</si>
  <si>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</si>
  <si>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</si>
  <si>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</si>
  <si>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</si>
  <si>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</si>
  <si>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</si>
  <si>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</si>
  <si>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</si>
  <si>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</si>
  <si>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</si>
  <si>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</si>
  <si>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</si>
  <si>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</si>
  <si>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</si>
  <si>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</si>
  <si>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</si>
  <si>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</si>
  <si>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</si>
  <si>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</si>
  <si>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</si>
  <si>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</si>
  <si>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</si>
  <si>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</si>
  <si>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</si>
  <si>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</si>
  <si>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</si>
  <si>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</si>
  <si>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</si>
  <si>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</si>
  <si>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</si>
  <si>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</si>
  <si>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</si>
  <si>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</si>
  <si>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</si>
  <si>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</si>
  <si>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</si>
  <si>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</si>
  <si>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</si>
  <si>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</si>
  <si>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</si>
  <si>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</si>
  <si>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</si>
  <si>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</si>
  <si>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</si>
  <si>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</si>
  <si>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</si>
  <si>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</si>
  <si>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</si>
  <si>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</si>
  <si>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</si>
  <si>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</si>
  <si>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</si>
  <si>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</si>
  <si>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</si>
  <si>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</si>
  <si>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</si>
  <si>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</si>
  <si>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</si>
  <si>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</si>
  <si>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</si>
  <si>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</si>
  <si>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</si>
  <si>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</si>
  <si>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</si>
  <si>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</si>
  <si>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</si>
  <si>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</si>
  <si>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</si>
  <si>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</si>
  <si>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</si>
  <si>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</si>
  <si>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</si>
  <si>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</si>
  <si>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</si>
  <si>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</si>
  <si>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</si>
  <si>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</si>
  <si>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</si>
  <si>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</si>
  <si>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</si>
  <si>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</si>
  <si>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</si>
  <si>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</si>
  <si>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</si>
  <si>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</si>
  <si>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</si>
  <si>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</si>
  <si>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</si>
  <si>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</si>
  <si>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</si>
  <si>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</si>
  <si>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</si>
  <si>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</si>
  <si>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</si>
  <si>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</si>
  <si>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</si>
  <si>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</si>
  <si>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</si>
  <si>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</si>
  <si>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</si>
  <si>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</si>
  <si>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</si>
  <si>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</si>
  <si>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</si>
  <si>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</si>
  <si>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</si>
  <si>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</si>
  <si>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</si>
  <si>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</si>
  <si>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</si>
  <si>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</si>
  <si>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</si>
  <si>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</si>
  <si>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</si>
  <si>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</si>
  <si>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</si>
  <si>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</si>
  <si>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</si>
  <si>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</si>
  <si>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</si>
  <si>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</si>
  <si>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</si>
  <si>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</si>
  <si>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</si>
  <si>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</si>
  <si>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</si>
  <si>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</si>
  <si>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</si>
  <si>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</si>
  <si>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</si>
  <si>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</si>
  <si>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</si>
  <si>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</si>
  <si>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</si>
  <si>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</si>
  <si>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</si>
  <si>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</si>
  <si>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</si>
  <si>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</si>
  <si>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</si>
  <si>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</si>
  <si>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</si>
  <si>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</si>
  <si>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</si>
  <si>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</si>
  <si>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</si>
  <si>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</si>
  <si>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</si>
  <si>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</si>
  <si>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</si>
  <si>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</si>
  <si>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</si>
  <si>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</si>
  <si>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</si>
  <si>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</si>
  <si>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</si>
  <si>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</si>
  <si>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</si>
  <si>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</si>
  <si>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</si>
  <si>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</si>
  <si>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</si>
  <si>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</si>
  <si>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</si>
  <si>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</si>
  <si>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</si>
  <si>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</si>
  <si>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</si>
  <si>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</si>
  <si>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</si>
  <si>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</si>
  <si>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</si>
  <si>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</si>
  <si>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</si>
  <si>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</si>
  <si>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</si>
  <si>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</si>
  <si>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</si>
  <si>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</si>
  <si>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</si>
  <si>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</si>
  <si>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</si>
  <si>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</si>
  <si>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</si>
  <si>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</si>
  <si>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</si>
  <si>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</si>
  <si>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</si>
  <si>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</si>
  <si>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</si>
  <si>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</si>
  <si>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</si>
  <si>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</si>
  <si>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</si>
  <si>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</si>
  <si>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</si>
  <si>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</si>
  <si>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</si>
  <si>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</si>
  <si>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</si>
  <si>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</si>
  <si>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</si>
  <si>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</si>
  <si>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</si>
  <si>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</si>
  <si>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</si>
  <si>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</si>
  <si>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</si>
  <si>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</si>
  <si>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</si>
  <si>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</si>
  <si>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</si>
  <si>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</si>
  <si>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</si>
  <si>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</si>
  <si>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</si>
  <si>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</si>
  <si>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</si>
  <si>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</si>
  <si>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</si>
  <si>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</si>
  <si>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</si>
  <si>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</si>
  <si>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</si>
  <si>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</si>
  <si>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</si>
  <si>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</si>
  <si>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</si>
  <si>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</si>
  <si>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</si>
  <si>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</si>
  <si>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</si>
  <si>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</si>
  <si>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</si>
  <si>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</si>
  <si>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</si>
  <si>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</si>
  <si>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</si>
  <si>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</si>
  <si>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</si>
  <si>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</si>
  <si>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</si>
  <si>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</si>
  <si>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</si>
  <si>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</si>
  <si>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</si>
  <si>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</si>
  <si>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</si>
  <si>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</si>
  <si>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</si>
  <si>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</si>
  <si>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</si>
  <si>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</si>
  <si>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</si>
  <si>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</si>
  <si>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</si>
  <si>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</si>
  <si>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</si>
  <si>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</si>
  <si>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</si>
  <si>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</si>
  <si>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</si>
  <si>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</si>
  <si>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</si>
  <si>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</si>
  <si>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</si>
  <si>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</si>
  <si>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</si>
  <si>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</si>
  <si>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</si>
  <si>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</si>
  <si>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</si>
  <si>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</si>
  <si>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</si>
  <si>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</si>
  <si>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</si>
  <si>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</si>
  <si>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</si>
  <si>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</si>
  <si>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</si>
  <si>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</si>
  <si>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</si>
  <si>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</si>
  <si>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</si>
  <si>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</si>
  <si>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</si>
  <si>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</si>
  <si>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</si>
  <si>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</si>
  <si>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</si>
  <si>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</si>
  <si>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</si>
  <si>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</si>
  <si>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</si>
  <si>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</si>
  <si>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</si>
  <si>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</si>
  <si>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</si>
  <si>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</si>
  <si>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</si>
  <si>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</si>
  <si>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</si>
  <si>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</si>
  <si>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</si>
  <si>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</si>
  <si>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</si>
  <si>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</si>
  <si>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</si>
  <si>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</si>
  <si>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</si>
  <si>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</si>
  <si>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</si>
  <si>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</si>
  <si>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</si>
  <si>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</si>
  <si>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</si>
  <si>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</si>
  <si>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</si>
  <si>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</si>
  <si>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</si>
  <si>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</si>
  <si>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</si>
  <si>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</si>
  <si>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</si>
  <si>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</si>
  <si>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</si>
  <si>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</si>
  <si>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</si>
  <si>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</si>
  <si>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</si>
  <si>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</si>
  <si>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</si>
  <si>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</si>
  <si>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</si>
  <si>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</si>
  <si>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</si>
  <si>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</si>
  <si>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</si>
  <si>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</si>
  <si>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</si>
  <si>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</si>
  <si>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</si>
  <si>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</si>
  <si>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</si>
  <si>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</si>
  <si>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</si>
  <si>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</si>
  <si>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</si>
  <si>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</si>
  <si>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</si>
  <si>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</si>
  <si>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</si>
  <si>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</si>
  <si>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</si>
  <si>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</si>
  <si>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</si>
  <si>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</si>
  <si>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</si>
  <si>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</si>
  <si>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</si>
  <si>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</si>
  <si>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</si>
  <si>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</si>
  <si>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</si>
  <si>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</si>
  <si>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</si>
  <si>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</si>
  <si>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</si>
  <si>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</si>
  <si>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</si>
  <si>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</si>
  <si>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</si>
  <si>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</si>
  <si>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</si>
  <si>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</si>
  <si>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</si>
  <si>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</si>
  <si>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</si>
  <si>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</si>
  <si>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</si>
  <si>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</si>
  <si>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</si>
  <si>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</si>
  <si>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</si>
  <si>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</si>
  <si>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</si>
  <si>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</si>
  <si>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</si>
  <si>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</si>
  <si>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</si>
  <si>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</si>
  <si>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</si>
  <si>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</si>
  <si>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</si>
  <si>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</si>
  <si>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</si>
  <si>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</si>
  <si>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</si>
  <si>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</si>
  <si>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</si>
  <si>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</si>
  <si>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</si>
  <si>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</si>
  <si>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</si>
  <si>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</si>
  <si>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</si>
  <si>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</si>
  <si>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</si>
  <si>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</si>
  <si>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</si>
  <si>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</si>
  <si>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</si>
  <si>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</si>
  <si>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</si>
  <si>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</si>
  <si>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</si>
  <si>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</si>
  <si>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</si>
  <si>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</si>
  <si>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</si>
  <si>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</si>
  <si>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</si>
  <si>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</si>
  <si>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</si>
  <si>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</si>
  <si>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</si>
  <si>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</si>
  <si>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</si>
  <si>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</si>
  <si>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</si>
  <si>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</si>
  <si>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</si>
  <si>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</si>
  <si>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</si>
  <si>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</si>
  <si>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</si>
  <si>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</si>
  <si>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</si>
  <si>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</si>
  <si>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</si>
  <si>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</si>
  <si>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</si>
  <si>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</si>
  <si>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</si>
  <si>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</si>
  <si>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</si>
  <si>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</si>
  <si>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</si>
  <si>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</si>
  <si>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</si>
  <si>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</si>
  <si>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</si>
  <si>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</si>
  <si>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</si>
  <si>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</si>
  <si>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</si>
  <si>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</si>
  <si>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</si>
  <si>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</si>
  <si>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</si>
  <si>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</si>
  <si>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</si>
  <si>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</si>
  <si>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</si>
  <si>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</si>
  <si>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</si>
  <si>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</si>
  <si>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</si>
  <si>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</si>
  <si>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</si>
  <si>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</si>
  <si>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</si>
  <si>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</si>
  <si>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</si>
  <si>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</si>
  <si>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</si>
  <si>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</si>
  <si>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</si>
  <si>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</si>
  <si>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</si>
  <si>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</si>
  <si>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</si>
  <si>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</si>
  <si>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</si>
  <si>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</si>
  <si>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</si>
  <si>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</si>
  <si>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</si>
  <si>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</si>
  <si>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</si>
  <si>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</si>
  <si>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</si>
  <si>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</si>
  <si>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</si>
  <si>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</si>
  <si>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</si>
  <si>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</si>
  <si>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</si>
  <si>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</si>
  <si>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</si>
  <si>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</si>
  <si>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</si>
  <si>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</si>
  <si>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</si>
  <si>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</si>
  <si>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</si>
  <si>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</si>
  <si>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</si>
  <si>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</si>
  <si>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</si>
  <si>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</si>
  <si>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</si>
  <si>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</si>
  <si>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</si>
  <si>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</si>
  <si>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</si>
  <si>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</si>
  <si>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</si>
  <si>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</si>
  <si>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</si>
  <si>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</si>
  <si>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</si>
  <si>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</si>
  <si>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</si>
  <si>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</si>
  <si>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</si>
  <si>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</si>
  <si>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</si>
  <si>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</si>
  <si>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</si>
  <si>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</si>
  <si>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</si>
  <si>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</si>
  <si>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</si>
  <si>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</si>
  <si>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</si>
  <si>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</si>
  <si>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</si>
  <si>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</si>
  <si>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</si>
  <si>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</si>
  <si>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</si>
  <si>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</si>
  <si>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</si>
  <si>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</si>
  <si>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</si>
  <si>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</si>
  <si>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</si>
  <si>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</si>
  <si>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</si>
  <si>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</si>
  <si>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</si>
  <si>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</si>
  <si>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</si>
  <si>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</si>
  <si>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</si>
  <si>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</si>
  <si>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</si>
  <si>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</si>
  <si>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</si>
  <si>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</si>
  <si>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</si>
  <si>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</si>
  <si>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</si>
  <si>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</si>
  <si>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</si>
  <si>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</si>
  <si>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</si>
  <si>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</si>
  <si>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</si>
  <si>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</si>
  <si>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</si>
  <si>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</si>
  <si>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</si>
  <si>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</si>
  <si>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</si>
  <si>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</si>
  <si>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</si>
  <si>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</si>
  <si>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</si>
  <si>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</si>
  <si>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</si>
  <si>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</si>
  <si>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</si>
  <si>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</si>
  <si>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</si>
  <si>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</si>
  <si>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</si>
  <si>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</si>
  <si>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</si>
  <si>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</si>
  <si>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</si>
  <si>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</si>
  <si>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</si>
  <si>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</si>
  <si>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</si>
  <si>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</si>
  <si>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</si>
  <si>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</si>
  <si>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</si>
  <si>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</si>
  <si>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</si>
  <si>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</si>
  <si>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</si>
  <si>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</si>
  <si>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</si>
  <si>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</si>
  <si>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</si>
  <si>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</si>
  <si>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</si>
  <si>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</si>
  <si>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</si>
  <si>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</si>
  <si>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</si>
  <si>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</si>
  <si>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</si>
  <si>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</si>
  <si>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</si>
  <si>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</si>
  <si>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</si>
  <si>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</si>
  <si>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</si>
  <si>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</si>
  <si>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</si>
  <si>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</si>
  <si>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</si>
  <si>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</si>
  <si>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</si>
  <si>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</si>
  <si>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</si>
  <si>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</si>
  <si>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</si>
  <si>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</si>
  <si>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</si>
  <si>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</si>
  <si>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</si>
  <si>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</si>
  <si>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</si>
  <si>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</si>
  <si>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</si>
  <si>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</si>
  <si>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</si>
  <si>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</si>
  <si>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</si>
  <si>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</si>
  <si>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</si>
  <si>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</si>
  <si>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</si>
  <si>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</si>
  <si>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</si>
  <si>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</si>
  <si>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</si>
  <si>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</si>
  <si>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</si>
  <si>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</si>
  <si>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</si>
  <si>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</si>
  <si>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</si>
  <si>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</si>
  <si>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</si>
  <si>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</si>
  <si>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</si>
  <si>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</si>
  <si>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</si>
  <si>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</si>
  <si>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</si>
  <si>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</si>
  <si>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</si>
  <si>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</si>
  <si>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</si>
  <si>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</si>
  <si>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</si>
  <si>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</si>
  <si>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</si>
  <si>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</si>
  <si>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</si>
  <si>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</si>
  <si>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</si>
  <si>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</si>
  <si>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</si>
  <si>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</si>
  <si>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</si>
  <si>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</si>
  <si>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</si>
  <si>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</si>
  <si>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</si>
  <si>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</si>
  <si>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</si>
  <si>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</si>
  <si>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</si>
  <si>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</si>
  <si>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</si>
  <si>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</si>
  <si>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</si>
  <si>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</si>
  <si>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</si>
  <si>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</si>
  <si>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</si>
  <si>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</si>
  <si>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</si>
  <si>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</si>
  <si>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</si>
  <si>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</si>
  <si>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</si>
  <si>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</si>
  <si>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</si>
  <si>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</si>
  <si>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</si>
  <si>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</si>
  <si>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</si>
  <si>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</si>
  <si>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</si>
  <si>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</si>
  <si>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</si>
  <si>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</si>
  <si>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</si>
  <si>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</si>
  <si>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</si>
  <si>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</si>
  <si>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</si>
  <si>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</si>
  <si>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</si>
  <si>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</si>
  <si>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</si>
  <si>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</si>
  <si>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</si>
  <si>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</si>
  <si>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</si>
  <si>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</si>
  <si>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</si>
  <si>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</si>
  <si>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</si>
  <si>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</si>
  <si>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</si>
  <si>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</si>
  <si>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</si>
  <si>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</si>
  <si>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</si>
  <si>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</si>
  <si>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</si>
  <si>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</si>
  <si>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</si>
  <si>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</si>
  <si>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</si>
  <si>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</si>
  <si>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</si>
  <si>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</si>
  <si>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</si>
  <si>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</si>
  <si>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</si>
  <si>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</si>
  <si>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</si>
  <si>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</si>
  <si>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</si>
  <si>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</si>
  <si>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</si>
  <si>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</si>
  <si>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</si>
  <si>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</si>
  <si>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</si>
  <si>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</si>
  <si>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</si>
  <si>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</si>
  <si>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</si>
  <si>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</si>
  <si>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</si>
  <si>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</si>
  <si>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</si>
  <si>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</si>
  <si>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</si>
  <si>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</si>
  <si>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</si>
  <si>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</si>
  <si>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</si>
  <si>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</si>
  <si>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</si>
  <si>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</si>
  <si>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</si>
  <si>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</si>
  <si>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</si>
  <si>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</si>
  <si>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</si>
  <si>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</si>
  <si>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</si>
  <si>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</si>
  <si>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</si>
  <si>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</si>
  <si>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</si>
  <si>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</si>
  <si>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</si>
  <si>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</si>
  <si>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</si>
  <si>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</si>
  <si>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</si>
  <si>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</si>
  <si>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</si>
  <si>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</si>
  <si>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</si>
  <si>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</si>
  <si>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</si>
  <si>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</si>
  <si>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</si>
  <si>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</si>
  <si>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</si>
  <si>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</si>
  <si>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</si>
  <si>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</si>
  <si>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</si>
  <si>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</si>
  <si>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</si>
  <si>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</si>
  <si>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</si>
  <si>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</si>
  <si>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</si>
  <si>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</si>
  <si>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</si>
  <si>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</si>
  <si>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</si>
  <si>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</si>
  <si>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</si>
  <si>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</si>
  <si>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</si>
  <si>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</si>
  <si>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</si>
  <si>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</si>
  <si>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</si>
  <si>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</si>
  <si>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</si>
  <si>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</si>
  <si>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</si>
  <si>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</si>
  <si>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</si>
  <si>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</si>
  <si>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</si>
  <si>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</si>
  <si>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</si>
  <si>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</si>
  <si>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</si>
  <si>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</si>
  <si>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</si>
  <si>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</si>
  <si>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</si>
  <si>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</si>
  <si>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</si>
  <si>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</si>
  <si>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</si>
  <si>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</si>
  <si>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</si>
  <si>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</si>
  <si>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</si>
  <si>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</si>
  <si>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</si>
  <si>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</si>
  <si>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</si>
  <si>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</si>
  <si>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</si>
  <si>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</si>
  <si>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</si>
  <si>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</si>
  <si>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</si>
  <si>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</si>
  <si>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</si>
  <si>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</si>
  <si>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</si>
  <si>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</si>
  <si>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</si>
  <si>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</si>
  <si>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</si>
  <si>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</si>
  <si>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</si>
  <si>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</si>
  <si>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</si>
  <si>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</si>
  <si>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</si>
  <si>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</si>
  <si>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</si>
  <si>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</si>
  <si>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</si>
  <si>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</si>
  <si>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</si>
  <si>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</si>
  <si>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</si>
  <si>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</si>
  <si>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</si>
  <si>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</si>
  <si>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</si>
  <si>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</si>
  <si>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</si>
  <si>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</si>
  <si>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</si>
  <si>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</si>
  <si>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</si>
  <si>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</si>
  <si>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</si>
  <si>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</si>
  <si>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</si>
  <si>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</si>
  <si>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</si>
  <si>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</si>
  <si>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</si>
  <si>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</si>
  <si>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</si>
  <si>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</si>
  <si>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</si>
  <si>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</si>
  <si>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</si>
  <si>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</si>
  <si>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</si>
  <si>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</si>
  <si>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</si>
  <si>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</si>
  <si>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</si>
  <si>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</si>
  <si>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</si>
  <si>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</si>
  <si>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</si>
  <si>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</si>
  <si>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</si>
  <si>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</si>
  <si>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</si>
  <si>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</si>
  <si>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</si>
  <si>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</si>
  <si>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</si>
  <si>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</si>
  <si>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</si>
  <si>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</si>
  <si>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</si>
  <si>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</si>
  <si>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</si>
  <si>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</si>
  <si>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</si>
  <si>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</si>
  <si>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</si>
  <si>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</si>
  <si>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</si>
  <si>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</si>
  <si>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</si>
  <si>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</si>
  <si>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</si>
  <si>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</si>
  <si>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</si>
  <si>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</si>
  <si>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</si>
  <si>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</si>
  <si>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</si>
  <si>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</si>
  <si>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</si>
  <si>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</si>
  <si>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</si>
  <si>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</si>
  <si>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</si>
  <si>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</si>
  <si>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</si>
  <si>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</si>
  <si>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</si>
  <si>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</si>
  <si>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</si>
  <si>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</si>
  <si>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</si>
  <si>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</si>
  <si>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</si>
  <si>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</si>
  <si>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</si>
  <si>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</si>
  <si>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</si>
  <si>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</si>
  <si>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</si>
  <si>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</si>
  <si>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</si>
  <si>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</si>
  <si>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</si>
  <si>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</si>
  <si>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</si>
  <si>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</si>
  <si>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</si>
  <si>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</si>
  <si>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</si>
  <si>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</si>
  <si>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</si>
  <si>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</si>
  <si>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</si>
  <si>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</si>
  <si>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</si>
  <si>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</si>
  <si>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</si>
  <si>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</si>
  <si>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</si>
  <si>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</si>
  <si>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</si>
  <si>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</si>
  <si>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</si>
  <si>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</si>
  <si>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</si>
  <si>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</si>
  <si>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</si>
  <si>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</si>
  <si>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</si>
  <si>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</si>
  <si>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</si>
  <si>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</si>
  <si>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</si>
  <si>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</si>
  <si>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</si>
  <si>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</si>
  <si>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</si>
  <si>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</si>
  <si>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</si>
  <si>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</si>
  <si>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</si>
  <si>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</si>
  <si>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</si>
  <si>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</si>
  <si>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</si>
  <si>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</si>
  <si>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</si>
  <si>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</si>
  <si>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</si>
  <si>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</si>
  <si>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</si>
  <si>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</si>
  <si>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</si>
  <si>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</si>
  <si>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</si>
  <si>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</si>
  <si>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</si>
  <si>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</si>
  <si>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</si>
  <si>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</si>
  <si>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</si>
  <si>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</si>
  <si>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</si>
  <si>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</si>
  <si>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</si>
  <si>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</si>
  <si>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</si>
  <si>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</si>
  <si>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</si>
  <si>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</si>
  <si>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</si>
  <si>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</si>
  <si>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</si>
  <si>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</si>
  <si>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</si>
  <si>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</si>
  <si>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</si>
  <si>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</si>
  <si>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</si>
  <si>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</si>
  <si>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</si>
  <si>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</si>
  <si>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</si>
  <si>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</si>
  <si>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</si>
  <si>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</si>
  <si>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</si>
  <si>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</si>
  <si>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</si>
  <si>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</si>
  <si>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</si>
  <si>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</si>
  <si>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</si>
  <si>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</si>
  <si>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</si>
  <si>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</si>
  <si>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</si>
  <si>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</si>
  <si>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</si>
  <si>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</si>
  <si>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</si>
  <si>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</si>
  <si>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</si>
  <si>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</si>
  <si>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</si>
  <si>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</si>
  <si>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</si>
  <si>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</si>
  <si>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</si>
  <si>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</si>
  <si>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</si>
  <si>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</si>
  <si>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</si>
  <si>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</si>
  <si>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</si>
  <si>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</si>
  <si>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</si>
  <si>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</si>
  <si>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</si>
  <si>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</si>
  <si>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</si>
  <si>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</si>
  <si>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</si>
  <si>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</si>
  <si>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</si>
  <si>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</si>
  <si>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</si>
  <si>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</si>
  <si>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</si>
  <si>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</si>
  <si>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</si>
  <si>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</si>
  <si>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</si>
  <si>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</si>
  <si>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</si>
  <si>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</si>
  <si>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</si>
  <si>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</si>
  <si>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</si>
  <si>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</si>
  <si>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</si>
  <si>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</si>
  <si>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</si>
  <si>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</si>
  <si>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</si>
  <si>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</si>
  <si>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</si>
  <si>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</si>
  <si>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</si>
  <si>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</si>
  <si>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</si>
  <si>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</si>
  <si>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</si>
  <si>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</si>
  <si>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</si>
  <si>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</si>
  <si>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</si>
  <si>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</si>
  <si>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</si>
  <si>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</si>
  <si>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</si>
  <si>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</si>
  <si>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</si>
  <si>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</si>
  <si>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</si>
  <si>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</si>
  <si>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</si>
  <si>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</si>
  <si>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</si>
  <si>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</si>
  <si>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</si>
  <si>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</si>
  <si>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</si>
  <si>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</si>
  <si>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</si>
  <si>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</si>
  <si>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</si>
  <si>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</si>
  <si>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</si>
  <si>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</si>
  <si>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</si>
  <si>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</si>
  <si>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</si>
  <si>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</si>
  <si>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</si>
  <si>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</si>
  <si>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</si>
  <si>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</si>
  <si>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</si>
  <si>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</si>
  <si>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</si>
  <si>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</si>
  <si>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</si>
  <si>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</si>
  <si>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</si>
  <si>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</si>
  <si>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</si>
  <si>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</si>
  <si>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</si>
  <si>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</si>
  <si>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</si>
  <si>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</si>
  <si>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</si>
  <si>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</si>
  <si>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</si>
  <si>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</si>
  <si>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</si>
  <si>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</si>
  <si>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</si>
  <si>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</si>
  <si>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</si>
  <si>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</si>
  <si>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</si>
  <si>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</si>
  <si>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</si>
  <si>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</si>
  <si>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</si>
  <si>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</si>
  <si>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</si>
  <si>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</si>
  <si>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</si>
  <si>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</si>
  <si>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</si>
  <si>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</si>
  <si>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</si>
  <si>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</si>
  <si>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</si>
  <si>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</si>
  <si>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</si>
  <si>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</si>
  <si>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</si>
  <si>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</si>
  <si>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</si>
  <si>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</si>
  <si>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</si>
  <si>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</si>
  <si>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</si>
  <si>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</si>
  <si>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</si>
  <si>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</si>
  <si>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</si>
  <si>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</si>
  <si>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</si>
  <si>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</si>
  <si>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</si>
  <si>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</si>
  <si>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</si>
  <si>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</si>
  <si>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</si>
  <si>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</si>
  <si>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</si>
  <si>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</si>
  <si>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</si>
  <si>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</si>
  <si>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</si>
  <si>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</si>
  <si>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</si>
  <si>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</si>
  <si>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</si>
  <si>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</si>
  <si>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</si>
  <si>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</si>
  <si>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</si>
  <si>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</si>
  <si>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</si>
  <si>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</si>
  <si>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</si>
  <si>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</si>
  <si>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</si>
  <si>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</si>
  <si>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</si>
  <si>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</si>
  <si>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</si>
  <si>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</si>
  <si>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</si>
  <si>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</si>
  <si>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</si>
  <si>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</si>
  <si>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</si>
  <si>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</si>
  <si>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</si>
  <si>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</si>
  <si>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</si>
  <si>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</si>
  <si>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</si>
  <si>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</si>
  <si>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</si>
  <si>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</si>
  <si>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</si>
  <si>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</si>
  <si>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</si>
  <si>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</si>
  <si>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</si>
  <si>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</si>
  <si>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</si>
  <si>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</si>
  <si>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</si>
  <si>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</si>
  <si>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</si>
  <si>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</si>
  <si>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</si>
  <si>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</si>
  <si>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</si>
  <si>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</si>
  <si>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</si>
  <si>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</si>
  <si>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</si>
  <si>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</si>
  <si>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</si>
  <si>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</si>
  <si>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</si>
  <si>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</si>
  <si>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</si>
  <si>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</si>
  <si>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</si>
  <si>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</si>
  <si>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</si>
  <si>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</si>
  <si>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</si>
  <si>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</si>
  <si>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</si>
  <si>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</si>
  <si>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</si>
  <si>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</si>
  <si>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</si>
  <si>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</si>
  <si>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</si>
  <si>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</si>
  <si>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</si>
  <si>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</si>
  <si>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</si>
  <si>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</si>
  <si>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</si>
  <si>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</si>
  <si>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</si>
  <si>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</si>
  <si>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</si>
  <si>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</si>
  <si>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</si>
  <si>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</si>
  <si>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</si>
  <si>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</si>
  <si>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</si>
  <si>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</si>
  <si>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</si>
  <si>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</si>
  <si>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</si>
  <si>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</si>
  <si>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</si>
  <si>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</si>
  <si>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</si>
  <si>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</si>
  <si>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</si>
  <si>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</si>
  <si>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</si>
  <si>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</si>
  <si>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</si>
  <si>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</si>
  <si>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</si>
  <si>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</si>
  <si>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</si>
  <si>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</si>
  <si>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</si>
  <si>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</si>
  <si>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</si>
  <si>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</si>
  <si>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</si>
  <si>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</si>
  <si>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</si>
  <si>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</si>
  <si>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</si>
  <si>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</si>
  <si>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</si>
  <si>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</si>
  <si>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</si>
  <si>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</si>
  <si>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</si>
  <si>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</si>
  <si>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</si>
  <si>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</si>
  <si>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</si>
  <si>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</si>
  <si>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</si>
  <si>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</si>
  <si>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</si>
  <si>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</si>
  <si>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</si>
  <si>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</si>
  <si>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</si>
  <si>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</si>
  <si>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</si>
  <si>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</si>
  <si>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</si>
  <si>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</si>
  <si>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</si>
  <si>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</si>
  <si>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</si>
  <si>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</si>
  <si>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</si>
  <si>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</si>
  <si>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</si>
  <si>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</si>
  <si>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</si>
  <si>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</si>
  <si>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</si>
  <si>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</si>
  <si>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</si>
  <si>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</si>
  <si>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</si>
  <si>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</si>
  <si>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</si>
  <si>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</si>
  <si>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</si>
  <si>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</si>
  <si>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</si>
  <si>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</si>
  <si>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</si>
  <si>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</si>
  <si>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</si>
  <si>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</si>
  <si>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</si>
  <si>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</si>
  <si>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</si>
  <si>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</si>
  <si>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</si>
  <si>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</si>
  <si>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</si>
  <si>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</si>
  <si>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</si>
  <si>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</si>
  <si>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</si>
  <si>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</si>
  <si>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</si>
  <si>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</si>
  <si>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</si>
  <si>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</si>
  <si>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</si>
  <si>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</si>
  <si>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</si>
  <si>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</si>
  <si>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</si>
  <si>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</si>
  <si>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</si>
  <si>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</si>
  <si>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</si>
  <si>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</si>
  <si>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</si>
  <si>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</si>
  <si>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</si>
  <si>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</si>
  <si>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</si>
  <si>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</si>
  <si>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</si>
  <si>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</si>
  <si>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</si>
  <si>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</si>
  <si>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</si>
  <si>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</si>
  <si>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</si>
  <si>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</si>
  <si>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</si>
  <si>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</si>
  <si>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</si>
  <si>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</si>
  <si>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</si>
  <si>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</si>
  <si>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</si>
  <si>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</si>
  <si>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</si>
  <si>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</si>
  <si>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</si>
  <si>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</si>
  <si>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</si>
  <si>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</si>
  <si>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</si>
  <si>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</si>
  <si>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</si>
  <si>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</si>
  <si>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</si>
  <si>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</si>
  <si>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</si>
  <si>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</si>
  <si>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</si>
  <si>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</si>
  <si>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</si>
  <si>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</si>
  <si>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</si>
  <si>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</si>
  <si>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</si>
  <si>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</si>
  <si>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</si>
  <si>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</si>
  <si>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</si>
  <si>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</si>
  <si>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</si>
  <si>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</si>
  <si>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</si>
  <si>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</si>
  <si>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</si>
  <si>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</si>
  <si>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</si>
  <si>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</si>
  <si>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</si>
  <si>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</si>
  <si>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</si>
  <si>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</si>
  <si>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</si>
  <si>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</si>
  <si>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</si>
  <si>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</si>
  <si>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</si>
  <si>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</si>
  <si>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</si>
  <si>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</si>
  <si>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</si>
  <si>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</si>
  <si>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</si>
  <si>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</si>
  <si>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</si>
  <si>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</si>
  <si>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</si>
  <si>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</si>
  <si>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</si>
  <si>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</si>
  <si>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</si>
  <si>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</si>
  <si>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</si>
  <si>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</si>
  <si>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</si>
  <si>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</si>
  <si>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</si>
  <si>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</si>
  <si>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</si>
  <si>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</si>
  <si>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</si>
  <si>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</si>
  <si>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</si>
  <si>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</si>
  <si>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</si>
  <si>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</si>
  <si>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</si>
  <si>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</si>
  <si>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</si>
  <si>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</si>
  <si>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</si>
  <si>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</si>
  <si>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</si>
  <si>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</si>
  <si>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</si>
  <si>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</si>
  <si>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</si>
  <si>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</si>
  <si>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</si>
  <si>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</si>
  <si>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</si>
  <si>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</si>
  <si>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</si>
  <si>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</si>
  <si>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</si>
  <si>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</si>
  <si>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</si>
  <si>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</si>
  <si>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</si>
  <si>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</si>
  <si>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</si>
  <si>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</si>
  <si>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</si>
  <si>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</si>
  <si>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</si>
  <si>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</si>
  <si>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</si>
  <si>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</si>
  <si>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</si>
  <si>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</si>
  <si>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</si>
  <si>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</si>
  <si>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</si>
  <si>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</si>
  <si>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</si>
  <si>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</si>
  <si>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</si>
  <si>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</si>
  <si>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</si>
  <si>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</si>
  <si>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</si>
  <si>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</si>
  <si>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</si>
  <si>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</si>
  <si>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</si>
  <si>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</si>
  <si>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</si>
  <si>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</si>
  <si>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</si>
  <si>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</si>
  <si>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</si>
  <si>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</si>
  <si>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</si>
  <si>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</si>
  <si>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</si>
  <si>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</si>
  <si>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</si>
  <si>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</si>
  <si>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</si>
  <si>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</si>
  <si>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</si>
  <si>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</si>
  <si>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</si>
  <si>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</si>
  <si>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</si>
  <si>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</si>
  <si>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</si>
  <si>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</si>
  <si>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</si>
  <si>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</si>
  <si>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</si>
  <si>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</si>
  <si>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</si>
  <si>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</si>
  <si>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</si>
  <si>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</si>
  <si>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</si>
  <si>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</si>
  <si>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</si>
  <si>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</si>
  <si>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</si>
  <si>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</si>
  <si>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</si>
  <si>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</si>
  <si>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</si>
  <si>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</si>
  <si>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</si>
  <si>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</si>
  <si>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</si>
  <si>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</si>
  <si>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</si>
  <si>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</si>
  <si>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</si>
  <si>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</si>
  <si>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</si>
  <si>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</si>
  <si>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</si>
  <si>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</si>
  <si>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</si>
  <si>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</si>
  <si>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</si>
  <si>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</si>
  <si>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</si>
  <si>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</si>
  <si>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</si>
  <si>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</si>
  <si>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</si>
  <si>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</si>
  <si>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</si>
  <si>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</si>
  <si>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</si>
  <si>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</si>
  <si>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</si>
  <si>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</si>
  <si>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</si>
  <si>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</si>
  <si>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</si>
  <si>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</si>
  <si>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</si>
  <si>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</si>
  <si>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</si>
  <si>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</si>
  <si>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</si>
  <si>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</si>
  <si>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</si>
  <si>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</si>
  <si>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</si>
  <si>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</si>
  <si>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</si>
  <si>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</si>
  <si>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</si>
  <si>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</si>
  <si>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</si>
  <si>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</si>
  <si>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</si>
  <si>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</si>
  <si>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</si>
  <si>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</si>
  <si>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</si>
  <si>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</si>
  <si>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</si>
  <si>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</si>
  <si>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</si>
  <si>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</si>
  <si>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</si>
  <si>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 Deviation</t>
  </si>
  <si>
    <t>Successful</t>
  </si>
  <si>
    <t>Failed</t>
  </si>
  <si>
    <t># of projects with over 200 backers</t>
  </si>
  <si>
    <t>For successful campaigns the median is more meaningful for summarizing the data. For failed campaigns the mean is more meaningful.</t>
  </si>
  <si>
    <t xml:space="preserve">There is significantly more variability in the number of backers for successful campaigns. This makes sense based on the nature of crowdfunding. </t>
  </si>
  <si>
    <t>Certain projects will have "mass appeal" which will drive up the number of backers significantly, leading to many more outliers. Whereas a consistent number of projects will fail to get any traction whatsoever, leading to significantly fewer outliers.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</si>
</sst>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b/>
      <sz val="14"/>
      <color theme="1"/>
      <name val="Corbe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3" fillId="0" borderId="0" xfId="0" applyFont="1"/>
    <xf numFmtId="0" fontId="0" fillId="0" borderId="0" xfId="0" quotePrefix="1"/>
    <xf numFmtId="9" fontId="0" fillId="0" borderId="0" xfId="1" applyFont="1"/>
    <xf numFmtId="0" fontId="1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3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C4F46"/>
        </patternFill>
      </fill>
    </dxf>
    <dxf>
      <fill>
        <patternFill>
          <bgColor rgb="FFFFC000"/>
        </patternFill>
      </fill>
    </dxf>
    <dxf>
      <fill>
        <patternFill patternType="solid">
          <fgColor auto="1"/>
          <bgColor rgb="FFB686DA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C4F46"/>
        </patternFill>
      </fill>
    </dxf>
    <dxf>
      <fill>
        <patternFill>
          <bgColor rgb="FFFFC000"/>
        </patternFill>
      </fill>
    </dxf>
    <dxf>
      <fill>
        <patternFill patternType="solid">
          <fgColor auto="1"/>
          <bgColor rgb="FFB686DA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C4F46"/>
        </patternFill>
      </fill>
    </dxf>
    <dxf>
      <fill>
        <patternFill>
          <bgColor rgb="FFFFC000"/>
        </patternFill>
      </fill>
    </dxf>
    <dxf>
      <fill>
        <patternFill patternType="solid">
          <fgColor auto="1"/>
          <bgColor rgb="FFB686DA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C4F46"/>
        </patternFill>
      </fill>
    </dxf>
    <dxf>
      <fill>
        <patternFill>
          <bgColor rgb="FFFFC000"/>
        </patternFill>
      </fill>
    </dxf>
    <dxf>
      <fill>
        <patternFill patternType="solid">
          <fgColor auto="1"/>
          <bgColor rgb="FFB686DA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C4F46"/>
        </patternFill>
      </fill>
    </dxf>
    <dxf>
      <fill>
        <patternFill>
          <bgColor rgb="FFFFC000"/>
        </patternFill>
      </fill>
    </dxf>
    <dxf>
      <fill>
        <patternFill patternType="solid">
          <fgColor auto="1"/>
          <bgColor rgb="FFB686DA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C4F46"/>
        </patternFill>
      </fill>
    </dxf>
    <dxf>
      <fill>
        <patternFill>
          <bgColor rgb="FFFFC000"/>
        </patternFill>
      </fill>
    </dxf>
    <dxf>
      <fill>
        <patternFill patternType="solid">
          <fgColor auto="1"/>
          <bgColor rgb="FFB686DA"/>
        </patternFill>
      </fill>
    </dxf>
  </dxfs>
  <tableStyles count="0" defaultTableStyle="TableStyleMedium2" defaultPivotStyle="PivotStyleLight16"/>
  <colors>
    <mruColors>
      <color rgb="FFB686DA"/>
      <color rgb="FFFC4F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[StarterBook_ExcelHomework_PeterWitwer.xlsx]Outcome vs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/>
                </a:gs>
                <a:gs pos="90000">
                  <a:schemeClr val="accent5">
                    <a:shade val="100000"/>
                    <a:satMod val="105000"/>
                  </a:schemeClr>
                </a:gs>
                <a:gs pos="100000">
                  <a:schemeClr val="accent5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</a:schemeClr>
                </a:gs>
                <a:gs pos="90000">
                  <a:schemeClr val="accent1">
                    <a:lumMod val="60000"/>
                    <a:shade val="100000"/>
                    <a:satMod val="105000"/>
                  </a:schemeClr>
                </a:gs>
                <a:gs pos="100000">
                  <a:schemeClr val="accent1">
                    <a:lumMod val="60000"/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/>
                </a:gs>
                <a:gs pos="90000">
                  <a:schemeClr val="accent1">
                    <a:shade val="100000"/>
                    <a:satMod val="105000"/>
                  </a:schemeClr>
                </a:gs>
                <a:gs pos="100000">
                  <a:schemeClr val="accent1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90000">
                  <a:schemeClr val="accent1">
                    <a:shade val="100000"/>
                    <a:satMod val="105000"/>
                  </a:schemeClr>
                </a:gs>
                <a:gs pos="100000">
                  <a:schemeClr val="accent1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A-4D17-A79D-D1BE15918E37}"/>
            </c:ext>
          </c:extLst>
        </c:ser>
        <c:ser>
          <c:idx val="1"/>
          <c:order val="1"/>
          <c:tx>
            <c:strRef>
              <c:f>'Outcome vs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59-4606-9BBF-B13311A98AA8}"/>
            </c:ext>
          </c:extLst>
        </c:ser>
        <c:ser>
          <c:idx val="2"/>
          <c:order val="2"/>
          <c:tx>
            <c:strRef>
              <c:f>'Outcome vs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5"/>
                </a:gs>
                <a:gs pos="90000">
                  <a:schemeClr val="accent5">
                    <a:shade val="100000"/>
                    <a:satMod val="105000"/>
                  </a:schemeClr>
                </a:gs>
                <a:gs pos="100000">
                  <a:schemeClr val="accent5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59-4606-9BBF-B13311A98AA8}"/>
            </c:ext>
          </c:extLst>
        </c:ser>
        <c:ser>
          <c:idx val="3"/>
          <c:order val="3"/>
          <c:tx>
            <c:strRef>
              <c:f>'Outcome vs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</a:schemeClr>
                </a:gs>
                <a:gs pos="90000">
                  <a:schemeClr val="accent1">
                    <a:lumMod val="60000"/>
                    <a:shade val="100000"/>
                    <a:satMod val="105000"/>
                  </a:schemeClr>
                </a:gs>
                <a:gs pos="100000">
                  <a:schemeClr val="accent1">
                    <a:lumMod val="60000"/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'Outcome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59-4606-9BBF-B13311A98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7788240"/>
        <c:axId val="1964952608"/>
      </c:barChart>
      <c:catAx>
        <c:axId val="19777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952608"/>
        <c:crosses val="autoZero"/>
        <c:auto val="1"/>
        <c:lblAlgn val="ctr"/>
        <c:lblOffset val="100"/>
        <c:noMultiLvlLbl val="0"/>
      </c:catAx>
      <c:valAx>
        <c:axId val="196495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7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[StarterBook_ExcelHomework_PeterWitwer.xlsx]Sub-categories!PivotTable2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</a:schemeClr>
                </a:gs>
                <a:gs pos="90000">
                  <a:schemeClr val="accent6">
                    <a:lumMod val="60000"/>
                    <a:shade val="100000"/>
                    <a:satMod val="105000"/>
                  </a:schemeClr>
                </a:gs>
                <a:gs pos="100000">
                  <a:schemeClr val="accent6">
                    <a:lumMod val="60000"/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/>
                </a:gs>
                <a:gs pos="90000">
                  <a:schemeClr val="accent6">
                    <a:shade val="100000"/>
                    <a:satMod val="105000"/>
                  </a:schemeClr>
                </a:gs>
                <a:gs pos="100000">
                  <a:schemeClr val="accent6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/>
                </a:gs>
                <a:gs pos="90000">
                  <a:schemeClr val="accent5">
                    <a:shade val="100000"/>
                    <a:satMod val="105000"/>
                  </a:schemeClr>
                </a:gs>
                <a:gs pos="100000">
                  <a:schemeClr val="accent5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/>
                </a:gs>
                <a:gs pos="90000">
                  <a:schemeClr val="accent4">
                    <a:shade val="100000"/>
                    <a:satMod val="105000"/>
                  </a:schemeClr>
                </a:gs>
                <a:gs pos="100000">
                  <a:schemeClr val="accent4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/>
                </a:gs>
                <a:gs pos="90000">
                  <a:schemeClr val="accent6">
                    <a:shade val="100000"/>
                    <a:satMod val="105000"/>
                  </a:schemeClr>
                </a:gs>
                <a:gs pos="100000">
                  <a:schemeClr val="accent6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D-4B9B-9583-CF9D421E93BA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/>
                </a:gs>
                <a:gs pos="90000">
                  <a:schemeClr val="accent5">
                    <a:shade val="100000"/>
                    <a:satMod val="105000"/>
                  </a:schemeClr>
                </a:gs>
                <a:gs pos="100000">
                  <a:schemeClr val="accent5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3-450D-B4E5-572FCDAAB042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/>
                </a:gs>
                <a:gs pos="90000">
                  <a:schemeClr val="accent4">
                    <a:shade val="100000"/>
                    <a:satMod val="105000"/>
                  </a:schemeClr>
                </a:gs>
                <a:gs pos="100000">
                  <a:schemeClr val="accent4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3-450D-B4E5-572FCDAAB042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</a:schemeClr>
                </a:gs>
                <a:gs pos="90000">
                  <a:schemeClr val="accent6">
                    <a:lumMod val="60000"/>
                    <a:shade val="100000"/>
                    <a:satMod val="105000"/>
                  </a:schemeClr>
                </a:gs>
                <a:gs pos="100000">
                  <a:schemeClr val="accent6">
                    <a:lumMod val="60000"/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73-450D-B4E5-572FCDAAB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4726512"/>
        <c:axId val="1683664256"/>
      </c:barChart>
      <c:catAx>
        <c:axId val="174472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64256"/>
        <c:crosses val="autoZero"/>
        <c:auto val="1"/>
        <c:lblAlgn val="ctr"/>
        <c:lblOffset val="100"/>
        <c:noMultiLvlLbl val="0"/>
      </c:catAx>
      <c:valAx>
        <c:axId val="16836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2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[StarterBook_ExcelHomework_PeterWitwer.xlsx]Outcome vs time!PivotTable3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4-448A-AC4B-D956E5D6A160}"/>
            </c:ext>
          </c:extLst>
        </c:ser>
        <c:ser>
          <c:idx val="1"/>
          <c:order val="1"/>
          <c:tx>
            <c:strRef>
              <c:f>'Outcome vs time'!$C$4:$C$5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4-448A-AC4B-D956E5D6A160}"/>
            </c:ext>
          </c:extLst>
        </c:ser>
        <c:ser>
          <c:idx val="2"/>
          <c:order val="2"/>
          <c:tx>
            <c:strRef>
              <c:f>'Outcome vs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4-448A-AC4B-D956E5D6A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444096"/>
        <c:axId val="2003889648"/>
      </c:lineChart>
      <c:catAx>
        <c:axId val="20064440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889648"/>
        <c:crosses val="autoZero"/>
        <c:auto val="1"/>
        <c:lblAlgn val="ctr"/>
        <c:lblOffset val="100"/>
        <c:noMultiLvlLbl val="0"/>
      </c:catAx>
      <c:valAx>
        <c:axId val="20038896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0.37681159420289856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5-4114-9451-82DD2E587EF3}"/>
            </c:ext>
          </c:extLst>
        </c:ser>
        <c:ser>
          <c:idx val="4"/>
          <c:order val="4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0.44927536231884058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45-4114-9451-82DD2E587EF3}"/>
            </c:ext>
          </c:extLst>
        </c:ser>
        <c:ser>
          <c:idx val="5"/>
          <c:order val="5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0.17391304347826086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45-4114-9451-82DD2E587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842063"/>
        <c:axId val="9479131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>
                    <a:outerShdw blurRad="38100" dist="254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26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45-4114-9451-82DD2E587E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>
                    <a:outerShdw blurRad="38100" dist="254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31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45-4114-9451-82DD2E587E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>
                    <a:outerShdw blurRad="38100" dist="254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45-4114-9451-82DD2E587EF3}"/>
                  </c:ext>
                </c:extLst>
              </c15:ser>
            </c15:filteredLineSeries>
          </c:ext>
        </c:extLst>
      </c:lineChart>
      <c:catAx>
        <c:axId val="1268842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913103"/>
        <c:crosses val="autoZero"/>
        <c:auto val="1"/>
        <c:lblAlgn val="ctr"/>
        <c:lblOffset val="100"/>
        <c:noMultiLvlLbl val="0"/>
      </c:catAx>
      <c:valAx>
        <c:axId val="94791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84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4</xdr:row>
      <xdr:rowOff>142875</xdr:rowOff>
    </xdr:from>
    <xdr:to>
      <xdr:col>17</xdr:col>
      <xdr:colOff>409575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480C9-14FD-48BC-AB00-15024316D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19050</xdr:rowOff>
    </xdr:from>
    <xdr:to>
      <xdr:col>21</xdr:col>
      <xdr:colOff>161925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D77FF-E759-4289-BADD-9D5F92790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</xdr:row>
      <xdr:rowOff>139700</xdr:rowOff>
    </xdr:from>
    <xdr:to>
      <xdr:col>19</xdr:col>
      <xdr:colOff>323850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6312A-C586-42A3-BA08-898865CDA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706435</xdr:colOff>
      <xdr:row>13</xdr:row>
      <xdr:rowOff>19049</xdr:rowOff>
    </xdr:from>
    <xdr:to>
      <xdr:col>8</xdr:col>
      <xdr:colOff>209550</xdr:colOff>
      <xdr:row>40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1DF00-CC25-4702-897F-4AED38CD7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Witwer" refreshedDate="44090.687960532407" createdVersion="6" refreshedVersion="6" minRefreshableVersion="3" recordCount="4115" xr:uid="{04E3ADCC-CA73-4E79-BEF6-8CC86CADA9FE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Witwer" refreshedDate="44090.715088541663" createdVersion="6" refreshedVersion="6" minRefreshableVersion="3" recordCount="4115" xr:uid="{6C2CC630-6000-4FAB-A939-A2B5B1DA07B5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C3323-89CE-43F0-8FE1-AFC881C2FC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F5184-0D7E-4512-AF4A-33E95417A2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h="1" x="4"/>
        <item x="0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9B42A-AEA5-4107-AFE0-41043559E9D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asis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Basis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0" zoomScaleNormal="70" workbookViewId="0">
      <selection activeCell="L1" activeCellId="1" sqref="F1:F1048576 L1:L1048576"/>
    </sheetView>
  </sheetViews>
  <sheetFormatPr defaultRowHeight="14.5" x14ac:dyDescent="0.35"/>
  <cols>
    <col min="2" max="2" width="38.4140625" style="3" customWidth="1"/>
    <col min="3" max="3" width="40.25" style="3" customWidth="1"/>
    <col min="5" max="5" width="16.4140625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4140625" customWidth="1"/>
    <col min="12" max="12" width="19.4140625" customWidth="1"/>
    <col min="13" max="13" width="23.4140625" customWidth="1"/>
    <col min="14" max="14" width="41.1640625" customWidth="1"/>
    <col min="15" max="15" width="16.9140625" customWidth="1"/>
    <col min="16" max="16" width="19.75" customWidth="1"/>
    <col min="17" max="17" width="41.1640625" customWidth="1"/>
    <col min="18" max="18" width="16.5" customWidth="1"/>
    <col min="19" max="19" width="28.9140625" style="11" customWidth="1"/>
    <col min="20" max="20" width="25.8320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IF(E2=0,0,(E2/D2)*100)</f>
        <v>136.85882352941178</v>
      </c>
      <c r="P2" s="7">
        <f>IF(E2=0,0,E2/L2)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IF(E3=0,0,(E3/D3)*100)</f>
        <v>142.60827250608273</v>
      </c>
      <c r="P3" s="7">
        <f t="shared" ref="P3:P66" si="1">IF(E3=0,0,E3/L3)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5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5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5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3.5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29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3.5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5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3.5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3.5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3.5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29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5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29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IF(E67=0,0,(E67/D67)*100)</f>
        <v>107.52857142857141</v>
      </c>
      <c r="P67" s="7">
        <f t="shared" ref="P67:P130" si="5">IF(E67=0,0,E67/L67)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3.5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5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3.5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3.5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3.5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3.5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3.5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5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3.5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IF(E131=0,0,(E131/D131)*100)</f>
        <v>0</v>
      </c>
      <c r="P131" s="7">
        <f t="shared" ref="P131:P194" si="9">IF(E131=0,0,E131/L131)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5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3.5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3.5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IF(E195=0,0,(E195/D195)*100)</f>
        <v>0</v>
      </c>
      <c r="P195" s="7">
        <f t="shared" ref="P195:P258" si="13">IF(E195=0,0,E195/L195)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3.5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3.5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3.5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5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IF(E259=0,0,(E259/D259)*100)</f>
        <v>106.72648571428572</v>
      </c>
      <c r="P259" s="7">
        <f t="shared" ref="P259:P322" si="17">IF(E259=0,0,E259/L259)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5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3.5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29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5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5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3.5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3.5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3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3.5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3.5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3.5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29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IF(E323=0,0,(E323/D323)*100)</f>
        <v>102.66285714285715</v>
      </c>
      <c r="P323" s="7">
        <f t="shared" ref="P323:P386" si="21">IF(E323=0,0,E323/L323)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3.5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5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29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5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5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29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5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3.5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3.5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3.5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3.5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3.5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IF(E387=0,0,(E387/D387)*100)</f>
        <v>105.982</v>
      </c>
      <c r="P387" s="7">
        <f t="shared" ref="P387:P450" si="25">IF(E387=0,0,E387/L387)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3.5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3.5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5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9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IF(E451=0,0,(E451/D451)*100)</f>
        <v>2.25</v>
      </c>
      <c r="P451" s="7">
        <f t="shared" ref="P451:P514" si="29">IF(E451=0,0,E451/L451)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IF(E515=0,0,(E515/D515)*100)</f>
        <v>13.923999999999999</v>
      </c>
      <c r="P515" s="7">
        <f t="shared" ref="P515:P578" si="33">IF(E515=0,0,E515/L515)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3.5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3.5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29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3.5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IF(E579=0,0,(E579/D579)*100)</f>
        <v>0.2</v>
      </c>
      <c r="P579" s="7">
        <f t="shared" ref="P579:P642" si="37">IF(E579=0,0,E579/L579)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3.5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3.5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3.5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3.5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IF(E643=0,0,(E643/D643)*100)</f>
        <v>119.16249999999999</v>
      </c>
      <c r="P643" s="7">
        <f t="shared" ref="P643:P706" si="41">IF(E643=0,0,E643/L643)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3.5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3.5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IF(E707=0,0,(E707/D707)*100)</f>
        <v>0.97699999999999987</v>
      </c>
      <c r="P707" s="7">
        <f t="shared" ref="P707:P770" si="45">IF(E707=0,0,E707/L707)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3.5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5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3.5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3.5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3.5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3.5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5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3.5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5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IF(E771=0,0,(E771/D771)*100)</f>
        <v>41.4</v>
      </c>
      <c r="P771" s="7">
        <f t="shared" ref="P771:P834" si="49">IF(E771=0,0,E771/L771)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5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5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3.5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29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29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3.5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3.5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3.5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3.5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9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IF(E835=0,0,(E835/D835)*100)</f>
        <v>101.66666666666666</v>
      </c>
      <c r="P835" s="7">
        <f t="shared" ref="P835:P898" si="53">IF(E835=0,0,E835/L835)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3.5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29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29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5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3.5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29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29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3.5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29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IF(E899=0,0,(E899/D899)*100)</f>
        <v>0</v>
      </c>
      <c r="P899" s="7">
        <f t="shared" ref="P899:P962" si="57">IF(E899=0,0,E899/L899)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IF(E963=0,0,(E963/D963)*100)</f>
        <v>42.188421052631583</v>
      </c>
      <c r="P963" s="7">
        <f t="shared" ref="P963:P1026" si="61">IF(E963=0,0,E963/L963)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3.5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3.5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5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IF(E1027=0,0,(E1027/D1027)*100)</f>
        <v>109.92831428571431</v>
      </c>
      <c r="P1027" s="7">
        <f t="shared" ref="P1027:P1090" si="65">IF(E1027=0,0,E1027/L1027)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3.5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3.5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5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5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3.5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5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IF(E1091=0,0,(E1091/D1091)*100)</f>
        <v>7.8266666666666662</v>
      </c>
      <c r="P1091" s="7">
        <f t="shared" ref="P1091:P1154" si="69">IF(E1091=0,0,E1091/L1091)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IF(E1155=0,0,(E1155/D1155)*100)</f>
        <v>0.625</v>
      </c>
      <c r="P1155" s="7">
        <f t="shared" ref="P1155:P1218" si="73">IF(E1155=0,0,E1155/L1155)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9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3.5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3.5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5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5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5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3.5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3.5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5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IF(E1219=0,0,(E1219/D1219)*100)</f>
        <v>102.60000000000001</v>
      </c>
      <c r="P1219" s="7">
        <f t="shared" ref="P1219:P1282" si="77">IF(E1219=0,0,E1219/L1219)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5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3.5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5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3.5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3.5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3.5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5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29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5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3.5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IF(E1283=0,0,(E1283/D1283)*100)</f>
        <v>110.71428571428572</v>
      </c>
      <c r="P1283" s="7">
        <f t="shared" ref="P1283:P1346" si="81">IF(E1283=0,0,E1283/L1283)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5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58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5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3.5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3.5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3.5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29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3.5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5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3.5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3.5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5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5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5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3.5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3.5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5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IF(E1347=0,0,(E1347/D1347)*100)</f>
        <v>125</v>
      </c>
      <c r="P1347" s="7">
        <f t="shared" ref="P1347:P1410" si="85">IF(E1347=0,0,E1347/L1347)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5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3.5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3.5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5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3.5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3.5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5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3.5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IF(E1411=0,0,(E1411/D1411)*100)</f>
        <v>0</v>
      </c>
      <c r="P1411" s="7">
        <f t="shared" ref="P1411:P1474" si="89">IF(E1411=0,0,E1411/L1411)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5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3.5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3.5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3.5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IF(E1475=0,0,(E1475/D1475)*100)</f>
        <v>120.51600000000001</v>
      </c>
      <c r="P1475" s="7">
        <f t="shared" ref="P1475:P1538" si="93">IF(E1475=0,0,E1475/L1475)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3.5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3.5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3.5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3.5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29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9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3.5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3.5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5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3.5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IF(E1539=0,0,(E1539/D1539)*100)</f>
        <v>179.9</v>
      </c>
      <c r="P1539" s="7">
        <f t="shared" ref="P1539:P1602" si="97">IF(E1539=0,0,E1539/L1539)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5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3.5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43.5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29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IF(E1603=0,0,(E1603/D1603)*100)</f>
        <v>108.2492</v>
      </c>
      <c r="P1603" s="7">
        <f t="shared" ref="P1603:P1666" si="101">IF(E1603=0,0,E1603/L1603)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5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3.5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5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29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3.5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3.5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5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3.5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8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5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IF(E1667=0,0,(E1667/D1667)*100)</f>
        <v>119.45714285714286</v>
      </c>
      <c r="P1667" s="7">
        <f t="shared" ref="P1667:P1730" si="105">IF(E1667=0,0,E1667/L1667)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3.5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43.5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29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5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43.5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3.5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5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5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IF(E1731=0,0,(E1731/D1731)*100)</f>
        <v>0</v>
      </c>
      <c r="P1731" s="7">
        <f t="shared" ref="P1731:P1794" si="109">IF(E1731=0,0,E1731/L1731)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5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3.5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9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3.5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5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3.5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IF(E1795=0,0,(E1795/D1795)*100)</f>
        <v>1.3333333333333335</v>
      </c>
      <c r="P1795" s="7">
        <f t="shared" ref="P1795:P1858" si="113">IF(E1795=0,0,E1795/L1795)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5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3.5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3.5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3.5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3.5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5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5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3.5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IF(E1859=0,0,(E1859/D1859)*100)</f>
        <v>100</v>
      </c>
      <c r="P1859" s="7">
        <f t="shared" ref="P1859:P1922" si="117">IF(E1859=0,0,E1859/L1859)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3.5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5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3.5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29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3.5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3.5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IF(E1923=0,0,(E1923/D1923)*100)</f>
        <v>136.80000000000001</v>
      </c>
      <c r="P1923" s="7">
        <f t="shared" ref="P1923:P1986" si="121">IF(E1923=0,0,E1923/L1923)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29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3.5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5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3.5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5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5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3.5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5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3.5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5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IF(E1987=0,0,(E1987/D1987)*100)</f>
        <v>3.1875</v>
      </c>
      <c r="P1987" s="7">
        <f t="shared" ref="P1987:P2050" si="125">IF(E1987=0,0,E1987/L1987)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3.5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3.5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5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5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3.5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3.5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29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29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5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3.5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5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9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5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IF(E2051=0,0,(E2051/D2051)*100)</f>
        <v>120.19070000000001</v>
      </c>
      <c r="P2051" s="7">
        <f t="shared" ref="P2051:P2114" si="129">IF(E2051=0,0,E2051/L2051)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5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3.5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3.5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3.5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3.5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3.5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3.5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3.5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3.5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5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29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3.5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IF(E2115=0,0,(E2115/D2115)*100)</f>
        <v>104.85714285714285</v>
      </c>
      <c r="P2115" s="7">
        <f t="shared" ref="P2115:P2178" si="133">IF(E2115=0,0,E2115/L2115)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5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3.5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9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3.5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3.5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IF(E2179=0,0,(E2179/D2179)*100)</f>
        <v>100.12</v>
      </c>
      <c r="P2179" s="7">
        <f t="shared" ref="P2179:P2242" si="137">IF(E2179=0,0,E2179/L2179)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3.5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29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3.5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5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5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3.5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3.5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5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5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5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8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3.5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3.5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5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IF(E2243=0,0,(E2243/D2243)*100)</f>
        <v>806.4</v>
      </c>
      <c r="P2243" s="7">
        <f t="shared" ref="P2243:P2306" si="141">IF(E2243=0,0,E2243/L2243)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5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3.5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3.5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5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3.5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3.5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5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3.5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5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3.5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29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3.5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IF(E2307=0,0,(E2307/D2307)*100)</f>
        <v>101.22777777777779</v>
      </c>
      <c r="P2307" s="7">
        <f t="shared" ref="P2307:P2370" si="145">IF(E2307=0,0,E2307/L2307)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3.5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29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3.5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3.5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5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5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5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5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IF(E2371=0,0,(E2371/D2371)*100)</f>
        <v>0</v>
      </c>
      <c r="P2371" s="7">
        <f t="shared" ref="P2371:P2434" si="149">IF(E2371=0,0,E2371/L2371)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5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43.5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3.5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5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3.5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5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IF(E2435=0,0,(E2435/D2435)*100)</f>
        <v>0</v>
      </c>
      <c r="P2435" s="7">
        <f t="shared" ref="P2435:P2498" si="153">IF(E2435=0,0,E2435/L2435)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5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3.5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3.5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3.5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3.5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9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3.5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3.5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3.5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5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3.5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5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3.5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IF(E2499=0,0,(E2499/D2499)*100)</f>
        <v>112.7715</v>
      </c>
      <c r="P2499" s="7">
        <f t="shared" ref="P2499:P2562" si="157">IF(E2499=0,0,E2499/L2499)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3.5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3.5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3.5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3.5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3.5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3.5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3.5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IF(E2563=0,0,(E2563/D2563)*100)</f>
        <v>0</v>
      </c>
      <c r="P2563" s="7">
        <f t="shared" ref="P2563:P2626" si="161">IF(E2563=0,0,E2563/L2563)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5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5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3.5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3.5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3.5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29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3.5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3.5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IF(E2627=0,0,(E2627/D2627)*100)</f>
        <v>956</v>
      </c>
      <c r="P2627" s="7">
        <f t="shared" ref="P2627:P2690" si="165">IF(E2627=0,0,E2627/L2627)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29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3.5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5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3.5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3.5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3.5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3.5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IF(E2691=0,0,(E2691/D2691)*100)</f>
        <v>2.8571428571428571E-3</v>
      </c>
      <c r="P2691" s="7">
        <f t="shared" ref="P2691:P2754" si="169">IF(E2691=0,0,E2691/L2691)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5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58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5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5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29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3.5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5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8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IF(E2755=0,0,(E2755/D2755)*100)</f>
        <v>19</v>
      </c>
      <c r="P2755" s="7">
        <f t="shared" ref="P2755:P2818" si="173">IF(E2755=0,0,E2755/L2755)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29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5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3.5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5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5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5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5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IF(E2819=0,0,(E2819/D2819)*100)</f>
        <v>130</v>
      </c>
      <c r="P2819" s="7">
        <f t="shared" ref="P2819:P2882" si="177">IF(E2819=0,0,E2819/L2819)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3.5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3.5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3.5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29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3.5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3.5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3.5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29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5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3.5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3.5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IF(E2883=0,0,(E2883/D2883)*100)</f>
        <v>0</v>
      </c>
      <c r="P2883" s="7">
        <f t="shared" ref="P2883:P2946" si="181">IF(E2883=0,0,E2883/L2883)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5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5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IF(E2947=0,0,(E2947/D2947)*100)</f>
        <v>0</v>
      </c>
      <c r="P2947" s="7">
        <f t="shared" ref="P2947:P3010" si="185">IF(E2947=0,0,E2947/L2947)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5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3.5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3.5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5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3.5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3.5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9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3.5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3.5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3.5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3.5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5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IF(E3011=0,0,(E3011/D3011)*100)</f>
        <v>119.756</v>
      </c>
      <c r="P3011" s="7">
        <f t="shared" ref="P3011:P3074" si="189">IF(E3011=0,0,E3011/L3011)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3.5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5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3.5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3.5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3.5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5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3.5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3.5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IF(E3075=0,0,(E3075/D3075)*100)</f>
        <v>2.3035714285714284E-2</v>
      </c>
      <c r="P3075" s="7">
        <f t="shared" ref="P3075:P3138" si="193">IF(E3075=0,0,E3075/L3075)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5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29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5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IF(E3139=0,0,(E3139/D3139)*100)</f>
        <v>3.3333333333333335</v>
      </c>
      <c r="P3139" s="7">
        <f t="shared" ref="P3139:P3202" si="197">IF(E3139=0,0,E3139/L3139)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3.5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43.5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29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29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29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29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3.5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5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3.5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3.5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29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3.5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3.5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3.5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3.5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3.5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29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3.5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IF(E3203=0,0,(E3203/D3203)*100)</f>
        <v>1.25</v>
      </c>
      <c r="P3203" s="7">
        <f t="shared" ref="P3203:P3266" si="201">IF(E3203=0,0,E3203/L3203)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5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5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29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3.5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29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3.5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5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5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3.5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5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29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3.5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29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3.5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29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IF(E3267=0,0,(E3267/D3267)*100)</f>
        <v>164</v>
      </c>
      <c r="P3267" s="7">
        <f t="shared" ref="P3267:P3330" si="205">IF(E3267=0,0,E3267/L3267)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3.5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3.5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3.5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5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3.5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5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5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3.5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5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5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3.5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3.5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3.5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5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3.5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29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IF(E3331=0,0,(E3331/D3331)*100)</f>
        <v>116.8</v>
      </c>
      <c r="P3331" s="7">
        <f t="shared" ref="P3331:P3394" si="209">IF(E3331=0,0,E3331/L3331)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5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29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29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3.5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3.5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5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5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9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29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3.5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3.5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3.5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5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3.5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5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3.5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3.5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3.5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5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3.5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IF(E3395=0,0,(E3395/D3395)*100)</f>
        <v>105.80000000000001</v>
      </c>
      <c r="P3395" s="7">
        <f t="shared" ref="P3395:P3458" si="213">IF(E3395=0,0,E3395/L3395)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3.5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3.5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29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3.5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29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3.5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5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5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3.5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5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3.5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5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IF(E3459=0,0,(E3459/D3459)*100)</f>
        <v>140.19999999999999</v>
      </c>
      <c r="P3459" s="7">
        <f t="shared" ref="P3459:P3522" si="217">IF(E3459=0,0,E3459/L3459)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5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5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3.5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29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3.5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5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3.5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3.5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5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3.5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3.5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3.5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3.5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29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3.5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29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3.5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IF(E3523=0,0,(E3523/D3523)*100)</f>
        <v>169.42857142857144</v>
      </c>
      <c r="P3523" s="7">
        <f t="shared" ref="P3523:P3586" si="221">IF(E3523=0,0,E3523/L3523)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5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5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3.5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3.5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29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5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3.5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5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5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3.5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3.5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5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01.5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5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29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IF(E3587=0,0,(E3587/D3587)*100)</f>
        <v>119.11764705882352</v>
      </c>
      <c r="P3587" s="7">
        <f t="shared" ref="P3587:P3650" si="225">IF(E3587=0,0,E3587/L3587)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5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5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3.5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29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5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3.5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IF(E3651=0,0,(E3651/D3651)*100)</f>
        <v>104</v>
      </c>
      <c r="P3651" s="7">
        <f t="shared" ref="P3651:P3714" si="229">IF(E3651=0,0,E3651/L3651)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29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5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3.5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3.5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5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3.5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3.5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3.5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29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29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29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5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3.5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29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5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3.5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29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3.5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3.5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IF(E3715=0,0,(E3715/D3715)*100)</f>
        <v>101.49999999999999</v>
      </c>
      <c r="P3715" s="7">
        <f t="shared" ref="P3715:P3778" si="233">IF(E3715=0,0,E3715/L3715)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3.5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3.5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3.5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IF(E3779=0,0,(E3779/D3779)*100)</f>
        <v>143.19999999999999</v>
      </c>
      <c r="P3779" s="7">
        <f t="shared" ref="P3779:P3842" si="237">IF(E3779=0,0,E3779/L3779)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3.5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5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5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29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9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3.5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3.5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5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3.5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IF(E3843=0,0,(E3843/D3843)*100)</f>
        <v>8.7200000000000006</v>
      </c>
      <c r="P3843" s="7">
        <f t="shared" ref="P3843:P3906" si="241">IF(E3843=0,0,E3843/L3843)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3.5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3.5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3.5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3.5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IF(E3907=0,0,(E3907/D3907)*100)</f>
        <v>11.533333333333333</v>
      </c>
      <c r="P3907" s="7">
        <f t="shared" ref="P3907:P3970" si="245">IF(E3907=0,0,E3907/L3907)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58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IF(E3971=0,0,(E3971/D3971)*100)</f>
        <v>7.4690265486725664</v>
      </c>
      <c r="P3971" s="7">
        <f t="shared" ref="P3971:P4034" si="249">IF(E3971=0,0,E3971/L3971)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IF(E4035=0,0,(E4035/D4035)*100)</f>
        <v>25.698702928870294</v>
      </c>
      <c r="P4035" s="7">
        <f t="shared" ref="P4035:P4098" si="253">IF(E4035=0,0,E4035/L4035)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IF(E4099=0,0,(E4099/D4099)*100)</f>
        <v>0</v>
      </c>
      <c r="P4099" s="7">
        <f t="shared" ref="P4099:P4115" si="257">IF(E4099=0,0,E4099/L4099)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F1:F4115" xr:uid="{6B102530-B7F6-4B8E-8390-F507E07990AD}">
    <filterColumn colId="0">
      <filters>
        <filter val="failed"/>
      </filters>
    </filterColumn>
  </autoFilter>
  <conditionalFormatting sqref="F1:F1048576">
    <cfRule type="containsText" dxfId="29" priority="4" operator="containsText" text="live">
      <formula>NOT(ISERROR(SEARCH("live",F1)))</formula>
    </cfRule>
    <cfRule type="containsText" dxfId="28" priority="5" operator="containsText" text="canceled">
      <formula>NOT(ISERROR(SEARCH("canceled",F1)))</formula>
    </cfRule>
    <cfRule type="containsText" dxfId="27" priority="6" operator="containsText" text="failed">
      <formula>NOT(ISERROR(SEARCH("failed",F1)))</formula>
    </cfRule>
    <cfRule type="containsText" dxfId="26" priority="7" operator="containsText" text="failed">
      <formula>NOT(ISERROR(SEARCH("failed",F1)))</formula>
    </cfRule>
    <cfRule type="containsText" dxfId="25" priority="8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2">
      <colorScale>
        <cfvo type="min"/>
        <cfvo type="num" val="100"/>
        <cfvo type="num" val="200"/>
        <color rgb="FFFF0000"/>
        <color rgb="FF00B050"/>
        <color rgb="FF63BE7B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8A85-93E5-445A-A51A-A7335EB5F973}">
  <sheetPr codeName="Sheet2"/>
  <dimension ref="A1:F14"/>
  <sheetViews>
    <sheetView workbookViewId="0">
      <selection activeCell="Q36" sqref="Q36"/>
    </sheetView>
  </sheetViews>
  <sheetFormatPr defaultRowHeight="14.5" x14ac:dyDescent="0.35"/>
  <cols>
    <col min="1" max="1" width="12.83203125" customWidth="1"/>
    <col min="2" max="2" width="15.58203125" customWidth="1"/>
    <col min="3" max="3" width="5.75" customWidth="1"/>
    <col min="4" max="4" width="8.4140625" customWidth="1"/>
    <col min="5" max="5" width="4" customWidth="1"/>
    <col min="6" max="7" width="10.6640625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6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6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6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6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6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6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6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6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6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6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CC6E-1EC4-40A6-AFD4-2A811E1B0B90}">
  <sheetPr codeName="Sheet3"/>
  <dimension ref="A1:F47"/>
  <sheetViews>
    <sheetView workbookViewId="0">
      <selection activeCell="C5" sqref="C5"/>
    </sheetView>
  </sheetViews>
  <sheetFormatPr defaultRowHeight="14.5" x14ac:dyDescent="0.35"/>
  <cols>
    <col min="1" max="1" width="14.33203125" bestFit="1" customWidth="1"/>
    <col min="2" max="2" width="14.83203125" bestFit="1" customWidth="1"/>
    <col min="3" max="3" width="3.75" bestFit="1" customWidth="1"/>
    <col min="4" max="4" width="9" bestFit="1" customWidth="1"/>
    <col min="5" max="5" width="8.08203125" bestFit="1" customWidth="1"/>
    <col min="6" max="6" width="10.5" bestFit="1" customWidth="1"/>
    <col min="7" max="7" width="10.6640625" customWidth="1"/>
  </cols>
  <sheetData>
    <row r="1" spans="1:6" x14ac:dyDescent="0.35">
      <c r="A1" s="8" t="s">
        <v>8365</v>
      </c>
      <c r="B1" t="s">
        <v>8364</v>
      </c>
    </row>
    <row r="2" spans="1:6" x14ac:dyDescent="0.35">
      <c r="A2" s="8" t="s">
        <v>8223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8221</v>
      </c>
      <c r="C5" t="s">
        <v>8222</v>
      </c>
      <c r="D5" t="s">
        <v>8219</v>
      </c>
      <c r="E5" t="s">
        <v>8220</v>
      </c>
      <c r="F5" t="s">
        <v>8361</v>
      </c>
    </row>
    <row r="6" spans="1:6" x14ac:dyDescent="0.35">
      <c r="A6" s="6" t="s">
        <v>8316</v>
      </c>
      <c r="B6" s="9">
        <v>100</v>
      </c>
      <c r="C6" s="9"/>
      <c r="D6" s="9"/>
      <c r="E6" s="9"/>
      <c r="F6" s="9">
        <v>100</v>
      </c>
    </row>
    <row r="7" spans="1:6" x14ac:dyDescent="0.35">
      <c r="A7" s="6" t="s">
        <v>8344</v>
      </c>
      <c r="B7" s="9"/>
      <c r="C7" s="9"/>
      <c r="D7" s="9"/>
      <c r="E7" s="9">
        <v>20</v>
      </c>
      <c r="F7" s="9">
        <v>20</v>
      </c>
    </row>
    <row r="8" spans="1:6" x14ac:dyDescent="0.35">
      <c r="A8" s="6" t="s">
        <v>8332</v>
      </c>
      <c r="B8" s="9"/>
      <c r="C8" s="9"/>
      <c r="D8" s="9"/>
      <c r="E8" s="9">
        <v>24</v>
      </c>
      <c r="F8" s="9">
        <v>24</v>
      </c>
    </row>
    <row r="9" spans="1:6" x14ac:dyDescent="0.35">
      <c r="A9" s="6" t="s">
        <v>8358</v>
      </c>
      <c r="B9" s="9">
        <v>40</v>
      </c>
      <c r="C9" s="9"/>
      <c r="D9" s="9"/>
      <c r="E9" s="9"/>
      <c r="F9" s="9">
        <v>40</v>
      </c>
    </row>
    <row r="10" spans="1:6" x14ac:dyDescent="0.35">
      <c r="A10" s="6" t="s">
        <v>8354</v>
      </c>
      <c r="B10" s="9"/>
      <c r="C10" s="9"/>
      <c r="D10" s="9">
        <v>40</v>
      </c>
      <c r="E10" s="9"/>
      <c r="F10" s="9">
        <v>40</v>
      </c>
    </row>
    <row r="11" spans="1:6" x14ac:dyDescent="0.35">
      <c r="A11" s="6" t="s">
        <v>8315</v>
      </c>
      <c r="B11" s="9"/>
      <c r="C11" s="9"/>
      <c r="D11" s="9">
        <v>180</v>
      </c>
      <c r="E11" s="9"/>
      <c r="F11" s="9">
        <v>180</v>
      </c>
    </row>
    <row r="12" spans="1:6" x14ac:dyDescent="0.35">
      <c r="A12" s="6" t="s">
        <v>8314</v>
      </c>
      <c r="B12" s="9">
        <v>80</v>
      </c>
      <c r="C12" s="9"/>
      <c r="D12" s="9"/>
      <c r="E12" s="9"/>
      <c r="F12" s="9">
        <v>80</v>
      </c>
    </row>
    <row r="13" spans="1:6" x14ac:dyDescent="0.35">
      <c r="A13" s="6" t="s">
        <v>8330</v>
      </c>
      <c r="B13" s="9"/>
      <c r="C13" s="9"/>
      <c r="D13" s="9">
        <v>40</v>
      </c>
      <c r="E13" s="9"/>
      <c r="F13" s="9">
        <v>40</v>
      </c>
    </row>
    <row r="14" spans="1:6" x14ac:dyDescent="0.35">
      <c r="A14" s="6" t="s">
        <v>8347</v>
      </c>
      <c r="B14" s="9">
        <v>40</v>
      </c>
      <c r="C14" s="9">
        <v>20</v>
      </c>
      <c r="D14" s="9"/>
      <c r="E14" s="9"/>
      <c r="F14" s="9">
        <v>60</v>
      </c>
    </row>
    <row r="15" spans="1:6" x14ac:dyDescent="0.35">
      <c r="A15" s="6" t="s">
        <v>8324</v>
      </c>
      <c r="B15" s="9">
        <v>40</v>
      </c>
      <c r="C15" s="9"/>
      <c r="D15" s="9"/>
      <c r="E15" s="9"/>
      <c r="F15" s="9">
        <v>40</v>
      </c>
    </row>
    <row r="16" spans="1:6" x14ac:dyDescent="0.35">
      <c r="A16" s="6" t="s">
        <v>8337</v>
      </c>
      <c r="B16" s="9">
        <v>120</v>
      </c>
      <c r="C16" s="9"/>
      <c r="D16" s="9"/>
      <c r="E16" s="9">
        <v>20</v>
      </c>
      <c r="F16" s="9">
        <v>140</v>
      </c>
    </row>
    <row r="17" spans="1:6" x14ac:dyDescent="0.35">
      <c r="A17" s="6" t="s">
        <v>8348</v>
      </c>
      <c r="B17" s="9">
        <v>20</v>
      </c>
      <c r="C17" s="9"/>
      <c r="D17" s="9"/>
      <c r="E17" s="9"/>
      <c r="F17" s="9">
        <v>20</v>
      </c>
    </row>
    <row r="18" spans="1:6" x14ac:dyDescent="0.35">
      <c r="A18" s="6" t="s">
        <v>8349</v>
      </c>
      <c r="B18" s="9"/>
      <c r="C18" s="9"/>
      <c r="D18" s="9">
        <v>140</v>
      </c>
      <c r="E18" s="9"/>
      <c r="F18" s="9">
        <v>140</v>
      </c>
    </row>
    <row r="19" spans="1:6" x14ac:dyDescent="0.35">
      <c r="A19" s="6" t="s">
        <v>8329</v>
      </c>
      <c r="B19" s="9">
        <v>20</v>
      </c>
      <c r="C19" s="9"/>
      <c r="D19" s="9">
        <v>140</v>
      </c>
      <c r="E19" s="9"/>
      <c r="F19" s="9">
        <v>160</v>
      </c>
    </row>
    <row r="20" spans="1:6" x14ac:dyDescent="0.35">
      <c r="A20" s="6" t="s">
        <v>8328</v>
      </c>
      <c r="B20" s="9">
        <v>60</v>
      </c>
      <c r="C20" s="9"/>
      <c r="D20" s="9"/>
      <c r="E20" s="9"/>
      <c r="F20" s="9">
        <v>60</v>
      </c>
    </row>
    <row r="21" spans="1:6" x14ac:dyDescent="0.35">
      <c r="A21" s="6" t="s">
        <v>8356</v>
      </c>
      <c r="B21" s="9">
        <v>11</v>
      </c>
      <c r="C21" s="9"/>
      <c r="D21" s="9">
        <v>9</v>
      </c>
      <c r="E21" s="9"/>
      <c r="F21" s="9">
        <v>20</v>
      </c>
    </row>
    <row r="22" spans="1:6" x14ac:dyDescent="0.35">
      <c r="A22" s="6" t="s">
        <v>8327</v>
      </c>
      <c r="B22" s="9"/>
      <c r="C22" s="9"/>
      <c r="D22" s="9">
        <v>20</v>
      </c>
      <c r="E22" s="9"/>
      <c r="F22" s="9">
        <v>20</v>
      </c>
    </row>
    <row r="23" spans="1:6" x14ac:dyDescent="0.35">
      <c r="A23" s="6" t="s">
        <v>8335</v>
      </c>
      <c r="B23" s="9">
        <v>40</v>
      </c>
      <c r="C23" s="9"/>
      <c r="D23" s="9"/>
      <c r="E23" s="9"/>
      <c r="F23" s="9">
        <v>40</v>
      </c>
    </row>
    <row r="24" spans="1:6" x14ac:dyDescent="0.35">
      <c r="A24" s="6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6" t="s">
        <v>8343</v>
      </c>
      <c r="B25" s="9">
        <v>20</v>
      </c>
      <c r="C25" s="9"/>
      <c r="D25" s="9"/>
      <c r="E25" s="9"/>
      <c r="F25" s="9">
        <v>20</v>
      </c>
    </row>
    <row r="26" spans="1:6" x14ac:dyDescent="0.35">
      <c r="A26" s="6" t="s">
        <v>8323</v>
      </c>
      <c r="B26" s="9"/>
      <c r="C26" s="9"/>
      <c r="D26" s="9">
        <v>60</v>
      </c>
      <c r="E26" s="9"/>
      <c r="F26" s="9">
        <v>60</v>
      </c>
    </row>
    <row r="27" spans="1:6" x14ac:dyDescent="0.35">
      <c r="A27" s="6" t="s">
        <v>8350</v>
      </c>
      <c r="B27" s="9">
        <v>20</v>
      </c>
      <c r="C27" s="9"/>
      <c r="D27" s="9"/>
      <c r="E27" s="9"/>
      <c r="F27" s="9">
        <v>20</v>
      </c>
    </row>
    <row r="28" spans="1:6" x14ac:dyDescent="0.35">
      <c r="A28" s="6" t="s">
        <v>8339</v>
      </c>
      <c r="B28" s="9">
        <v>57</v>
      </c>
      <c r="C28" s="9"/>
      <c r="D28" s="9">
        <v>103</v>
      </c>
      <c r="E28" s="9"/>
      <c r="F28" s="9">
        <v>160</v>
      </c>
    </row>
    <row r="29" spans="1:6" x14ac:dyDescent="0.35">
      <c r="A29" s="6" t="s">
        <v>8345</v>
      </c>
      <c r="B29" s="9">
        <v>20</v>
      </c>
      <c r="C29" s="9"/>
      <c r="D29" s="9"/>
      <c r="E29" s="9"/>
      <c r="F29" s="9">
        <v>20</v>
      </c>
    </row>
    <row r="30" spans="1:6" x14ac:dyDescent="0.35">
      <c r="A30" s="6" t="s">
        <v>8318</v>
      </c>
      <c r="B30" s="9">
        <v>353</v>
      </c>
      <c r="C30" s="9">
        <v>19</v>
      </c>
      <c r="D30" s="9">
        <v>694</v>
      </c>
      <c r="E30" s="9"/>
      <c r="F30" s="9">
        <v>1066</v>
      </c>
    </row>
    <row r="31" spans="1:6" x14ac:dyDescent="0.35">
      <c r="A31" s="6" t="s">
        <v>8346</v>
      </c>
      <c r="B31" s="9"/>
      <c r="C31" s="9"/>
      <c r="D31" s="9">
        <v>40</v>
      </c>
      <c r="E31" s="9"/>
      <c r="F31" s="9">
        <v>40</v>
      </c>
    </row>
    <row r="32" spans="1:6" x14ac:dyDescent="0.35">
      <c r="A32" s="6" t="s">
        <v>8342</v>
      </c>
      <c r="B32" s="9"/>
      <c r="C32" s="9"/>
      <c r="D32" s="9">
        <v>20</v>
      </c>
      <c r="E32" s="9"/>
      <c r="F32" s="9">
        <v>20</v>
      </c>
    </row>
    <row r="33" spans="1:6" x14ac:dyDescent="0.35">
      <c r="A33" s="6" t="s">
        <v>8353</v>
      </c>
      <c r="B33" s="9">
        <v>20</v>
      </c>
      <c r="C33" s="9"/>
      <c r="D33" s="9"/>
      <c r="E33" s="9"/>
      <c r="F33" s="9">
        <v>20</v>
      </c>
    </row>
    <row r="34" spans="1:6" x14ac:dyDescent="0.35">
      <c r="A34" s="6" t="s">
        <v>8326</v>
      </c>
      <c r="B34" s="9"/>
      <c r="C34" s="9"/>
      <c r="D34" s="9">
        <v>260</v>
      </c>
      <c r="E34" s="9"/>
      <c r="F34" s="9">
        <v>260</v>
      </c>
    </row>
    <row r="35" spans="1:6" x14ac:dyDescent="0.35">
      <c r="A35" s="6" t="s">
        <v>8313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6" t="s">
        <v>8312</v>
      </c>
      <c r="B36" s="9"/>
      <c r="C36" s="9"/>
      <c r="D36" s="9">
        <v>60</v>
      </c>
      <c r="E36" s="9"/>
      <c r="F36" s="9">
        <v>60</v>
      </c>
    </row>
    <row r="37" spans="1:6" x14ac:dyDescent="0.35">
      <c r="A37" s="6" t="s">
        <v>8352</v>
      </c>
      <c r="B37" s="9"/>
      <c r="C37" s="9">
        <v>6</v>
      </c>
      <c r="D37" s="9">
        <v>34</v>
      </c>
      <c r="E37" s="9"/>
      <c r="F37" s="9">
        <v>40</v>
      </c>
    </row>
    <row r="38" spans="1:6" x14ac:dyDescent="0.35">
      <c r="A38" s="6" t="s">
        <v>8355</v>
      </c>
      <c r="B38" s="9">
        <v>2</v>
      </c>
      <c r="C38" s="9"/>
      <c r="D38" s="9">
        <v>40</v>
      </c>
      <c r="E38" s="9">
        <v>18</v>
      </c>
      <c r="F38" s="9">
        <v>60</v>
      </c>
    </row>
    <row r="39" spans="1:6" x14ac:dyDescent="0.35">
      <c r="A39" s="6" t="s">
        <v>8357</v>
      </c>
      <c r="B39" s="9">
        <v>80</v>
      </c>
      <c r="C39" s="9">
        <v>5</v>
      </c>
      <c r="D39" s="9">
        <v>85</v>
      </c>
      <c r="E39" s="9">
        <v>17</v>
      </c>
      <c r="F39" s="9">
        <v>187</v>
      </c>
    </row>
    <row r="40" spans="1:6" x14ac:dyDescent="0.35">
      <c r="A40" s="6" t="s">
        <v>8351</v>
      </c>
      <c r="B40" s="9"/>
      <c r="C40" s="9"/>
      <c r="D40" s="9">
        <v>80</v>
      </c>
      <c r="E40" s="9"/>
      <c r="F40" s="9">
        <v>80</v>
      </c>
    </row>
    <row r="41" spans="1:6" x14ac:dyDescent="0.35">
      <c r="A41" s="6" t="s">
        <v>8311</v>
      </c>
      <c r="B41" s="9"/>
      <c r="C41" s="9"/>
      <c r="D41" s="9">
        <v>60</v>
      </c>
      <c r="E41" s="9"/>
      <c r="F41" s="9">
        <v>60</v>
      </c>
    </row>
    <row r="42" spans="1:6" x14ac:dyDescent="0.35">
      <c r="A42" s="6" t="s">
        <v>8341</v>
      </c>
      <c r="B42" s="9">
        <v>47</v>
      </c>
      <c r="C42" s="9"/>
      <c r="D42" s="9"/>
      <c r="E42" s="9">
        <v>10</v>
      </c>
      <c r="F42" s="9">
        <v>57</v>
      </c>
    </row>
    <row r="43" spans="1:6" x14ac:dyDescent="0.35">
      <c r="A43" s="6" t="s">
        <v>8334</v>
      </c>
      <c r="B43" s="9">
        <v>100</v>
      </c>
      <c r="C43" s="9"/>
      <c r="D43" s="9"/>
      <c r="E43" s="9"/>
      <c r="F43" s="9">
        <v>100</v>
      </c>
    </row>
    <row r="44" spans="1:6" x14ac:dyDescent="0.35">
      <c r="A44" s="6" t="s">
        <v>8321</v>
      </c>
      <c r="B44" s="9">
        <v>120</v>
      </c>
      <c r="C44" s="9"/>
      <c r="D44" s="9">
        <v>20</v>
      </c>
      <c r="E44" s="9">
        <v>60</v>
      </c>
      <c r="F44" s="9">
        <v>200</v>
      </c>
    </row>
    <row r="45" spans="1:6" x14ac:dyDescent="0.35">
      <c r="A45" s="6" t="s">
        <v>8320</v>
      </c>
      <c r="B45" s="9">
        <v>60</v>
      </c>
      <c r="C45" s="9"/>
      <c r="D45" s="9"/>
      <c r="E45" s="9">
        <v>100</v>
      </c>
      <c r="F45" s="9">
        <v>160</v>
      </c>
    </row>
    <row r="46" spans="1:6" x14ac:dyDescent="0.35">
      <c r="A46" s="6" t="s">
        <v>8340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6" t="s">
        <v>8361</v>
      </c>
      <c r="B47" s="9">
        <v>1530</v>
      </c>
      <c r="C47" s="9">
        <v>50</v>
      </c>
      <c r="D47" s="9">
        <v>2185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E122D-3ED1-40F9-A368-B570DBA113E3}">
  <sheetPr codeName="Sheet4"/>
  <dimension ref="A1:E18"/>
  <sheetViews>
    <sheetView workbookViewId="0">
      <selection activeCell="Q40" sqref="Q40"/>
    </sheetView>
  </sheetViews>
  <sheetFormatPr defaultRowHeight="14.5" x14ac:dyDescent="0.35"/>
  <cols>
    <col min="1" max="1" width="12.83203125" customWidth="1"/>
    <col min="2" max="2" width="15.58203125" customWidth="1"/>
    <col min="3" max="3" width="8.4140625" customWidth="1"/>
    <col min="4" max="4" width="5.75" customWidth="1"/>
    <col min="5" max="6" width="10.6640625" customWidth="1"/>
    <col min="7" max="7" width="9.832031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8380</v>
      </c>
      <c r="B2" t="s">
        <v>8364</v>
      </c>
    </row>
    <row r="4" spans="1:5" x14ac:dyDescent="0.35">
      <c r="A4" s="8" t="s">
        <v>8362</v>
      </c>
      <c r="B4" s="8" t="s">
        <v>8363</v>
      </c>
    </row>
    <row r="5" spans="1:5" x14ac:dyDescent="0.35">
      <c r="A5" s="8" t="s">
        <v>8360</v>
      </c>
      <c r="B5" t="s">
        <v>8219</v>
      </c>
      <c r="C5" t="s">
        <v>8220</v>
      </c>
      <c r="D5" t="s">
        <v>8221</v>
      </c>
      <c r="E5" t="s">
        <v>8361</v>
      </c>
    </row>
    <row r="6" spans="1:5" x14ac:dyDescent="0.35">
      <c r="A6" s="6" t="s">
        <v>8374</v>
      </c>
      <c r="B6" s="9">
        <v>182</v>
      </c>
      <c r="C6" s="9">
        <v>34</v>
      </c>
      <c r="D6" s="9">
        <v>149</v>
      </c>
      <c r="E6" s="9">
        <v>365</v>
      </c>
    </row>
    <row r="7" spans="1:5" x14ac:dyDescent="0.35">
      <c r="A7" s="6" t="s">
        <v>8375</v>
      </c>
      <c r="B7" s="9">
        <v>202</v>
      </c>
      <c r="C7" s="9">
        <v>27</v>
      </c>
      <c r="D7" s="9">
        <v>106</v>
      </c>
      <c r="E7" s="9">
        <v>335</v>
      </c>
    </row>
    <row r="8" spans="1:5" x14ac:dyDescent="0.35">
      <c r="A8" s="6" t="s">
        <v>8376</v>
      </c>
      <c r="B8" s="9">
        <v>180</v>
      </c>
      <c r="C8" s="9">
        <v>28</v>
      </c>
      <c r="D8" s="9">
        <v>108</v>
      </c>
      <c r="E8" s="9">
        <v>316</v>
      </c>
    </row>
    <row r="9" spans="1:5" x14ac:dyDescent="0.35">
      <c r="A9" s="6" t="s">
        <v>8377</v>
      </c>
      <c r="B9" s="9">
        <v>192</v>
      </c>
      <c r="C9" s="9">
        <v>27</v>
      </c>
      <c r="D9" s="9">
        <v>102</v>
      </c>
      <c r="E9" s="9">
        <v>321</v>
      </c>
    </row>
    <row r="10" spans="1:5" x14ac:dyDescent="0.35">
      <c r="A10" s="6" t="s">
        <v>8368</v>
      </c>
      <c r="B10" s="9">
        <v>234</v>
      </c>
      <c r="C10" s="9">
        <v>26</v>
      </c>
      <c r="D10" s="9">
        <v>126</v>
      </c>
      <c r="E10" s="9">
        <v>386</v>
      </c>
    </row>
    <row r="11" spans="1:5" x14ac:dyDescent="0.35">
      <c r="A11" s="6" t="s">
        <v>8378</v>
      </c>
      <c r="B11" s="9">
        <v>211</v>
      </c>
      <c r="C11" s="9">
        <v>27</v>
      </c>
      <c r="D11" s="9">
        <v>147</v>
      </c>
      <c r="E11" s="9">
        <v>385</v>
      </c>
    </row>
    <row r="12" spans="1:5" x14ac:dyDescent="0.35">
      <c r="A12" s="6" t="s">
        <v>8369</v>
      </c>
      <c r="B12" s="9">
        <v>194</v>
      </c>
      <c r="C12" s="9">
        <v>43</v>
      </c>
      <c r="D12" s="9">
        <v>150</v>
      </c>
      <c r="E12" s="9">
        <v>387</v>
      </c>
    </row>
    <row r="13" spans="1:5" x14ac:dyDescent="0.35">
      <c r="A13" s="6" t="s">
        <v>8370</v>
      </c>
      <c r="B13" s="9">
        <v>166</v>
      </c>
      <c r="C13" s="9">
        <v>33</v>
      </c>
      <c r="D13" s="9">
        <v>134</v>
      </c>
      <c r="E13" s="9">
        <v>333</v>
      </c>
    </row>
    <row r="14" spans="1:5" x14ac:dyDescent="0.35">
      <c r="A14" s="6" t="s">
        <v>8371</v>
      </c>
      <c r="B14" s="9">
        <v>147</v>
      </c>
      <c r="C14" s="9">
        <v>24</v>
      </c>
      <c r="D14" s="9">
        <v>127</v>
      </c>
      <c r="E14" s="9">
        <v>298</v>
      </c>
    </row>
    <row r="15" spans="1:5" x14ac:dyDescent="0.35">
      <c r="A15" s="6" t="s">
        <v>8372</v>
      </c>
      <c r="B15" s="9">
        <v>183</v>
      </c>
      <c r="C15" s="9">
        <v>20</v>
      </c>
      <c r="D15" s="9">
        <v>149</v>
      </c>
      <c r="E15" s="9">
        <v>352</v>
      </c>
    </row>
    <row r="16" spans="1:5" x14ac:dyDescent="0.35">
      <c r="A16" s="6" t="s">
        <v>8373</v>
      </c>
      <c r="B16" s="9">
        <v>183</v>
      </c>
      <c r="C16" s="9">
        <v>37</v>
      </c>
      <c r="D16" s="9">
        <v>114</v>
      </c>
      <c r="E16" s="9">
        <v>334</v>
      </c>
    </row>
    <row r="17" spans="1:5" x14ac:dyDescent="0.35">
      <c r="A17" s="6" t="s">
        <v>8379</v>
      </c>
      <c r="B17" s="9">
        <v>111</v>
      </c>
      <c r="C17" s="9">
        <v>23</v>
      </c>
      <c r="D17" s="9">
        <v>118</v>
      </c>
      <c r="E17" s="9">
        <v>252</v>
      </c>
    </row>
    <row r="18" spans="1:5" x14ac:dyDescent="0.35">
      <c r="A18" s="6" t="s">
        <v>8361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AC517-3CB2-4B1F-9B3A-A73809E21419}">
  <dimension ref="A1:I13"/>
  <sheetViews>
    <sheetView workbookViewId="0">
      <selection activeCell="B2" sqref="B2"/>
    </sheetView>
  </sheetViews>
  <sheetFormatPr defaultRowHeight="14.5" x14ac:dyDescent="0.35"/>
  <cols>
    <col min="1" max="1" width="15" customWidth="1"/>
    <col min="2" max="2" width="22.1640625" customWidth="1"/>
    <col min="3" max="3" width="19.58203125" customWidth="1"/>
    <col min="4" max="4" width="21.6640625" customWidth="1"/>
    <col min="5" max="5" width="16.33203125" customWidth="1"/>
    <col min="6" max="6" width="26" customWidth="1"/>
    <col min="7" max="7" width="21.25" customWidth="1"/>
    <col min="8" max="8" width="23.9140625" customWidth="1"/>
    <col min="9" max="9" width="20" customWidth="1"/>
  </cols>
  <sheetData>
    <row r="1" spans="1:9" ht="18.5" x14ac:dyDescent="0.4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  <c r="I1" s="13"/>
    </row>
    <row r="2" spans="1:9" x14ac:dyDescent="0.35">
      <c r="A2" t="s">
        <v>8389</v>
      </c>
      <c r="B2">
        <f>COUNTIFS('Kickstarter Data'!$F:$F, "successful", 'Kickstarter Data'!$D:$D, "&lt;1000")</f>
        <v>322</v>
      </c>
      <c r="C2">
        <f>COUNTIFS('Kickstarter Data'!$F:$F, "failed", 'Kickstarter Data'!$D:$D, "&lt;1000")</f>
        <v>113</v>
      </c>
      <c r="D2">
        <f>COUNTIFS('Kickstarter Data'!$F:$F, "canceled", 'Kickstarter Data'!$D:$D, "&lt;1000")</f>
        <v>18</v>
      </c>
      <c r="E2">
        <f>SUM(B2,C2,D2)</f>
        <v>453</v>
      </c>
      <c r="F2" s="15">
        <f>(B2/E2)</f>
        <v>0.71081677704194257</v>
      </c>
      <c r="G2" s="15">
        <f>(C2/E2)</f>
        <v>0.24944812362030905</v>
      </c>
      <c r="H2" s="15">
        <f>(D2/E2)</f>
        <v>3.9735099337748346E-2</v>
      </c>
    </row>
    <row r="3" spans="1:9" x14ac:dyDescent="0.35">
      <c r="A3" t="s">
        <v>8390</v>
      </c>
      <c r="B3" s="14">
        <f>COUNTIFS('Kickstarter Data'!$F:$F, "successful", 'Kickstarter Data'!$D:$D, "&lt;5000", 'Kickstarter Data'!$D:$D, "&gt;=1000")</f>
        <v>932</v>
      </c>
      <c r="C3" s="14">
        <f>COUNTIFS('Kickstarter Data'!$F:$F, "failed", 'Kickstarter Data'!$D:$D, "&lt;5000", 'Kickstarter Data'!$D:$D, "&gt;=1000")</f>
        <v>420</v>
      </c>
      <c r="D3" s="14">
        <f>COUNTIFS('Kickstarter Data'!$F:$F, "canceled", 'Kickstarter Data'!$D:$D, "&lt;5000", 'Kickstarter Data'!$D:$D, "&gt;=1000")</f>
        <v>60</v>
      </c>
      <c r="E3">
        <f t="shared" ref="E3:E13" si="0">SUM(B3,C3,D3)</f>
        <v>1412</v>
      </c>
      <c r="F3" s="15">
        <f t="shared" ref="F3:F13" si="1">(B3/E3)</f>
        <v>0.66005665722379603</v>
      </c>
      <c r="G3" s="15">
        <f t="shared" ref="G3:G13" si="2">(C3/E3)</f>
        <v>0.29745042492917845</v>
      </c>
      <c r="H3" s="15">
        <f t="shared" ref="H3:H13" si="3">(D3/E3)</f>
        <v>4.2492917847025496E-2</v>
      </c>
    </row>
    <row r="4" spans="1:9" x14ac:dyDescent="0.35">
      <c r="A4" t="s">
        <v>8391</v>
      </c>
      <c r="B4">
        <f>COUNTIFS('Kickstarter Data'!$F:$F, "successful", 'Kickstarter Data'!$D:$D, "&gt;=5000", 'Kickstarter Data'!$D:$D, "&lt;10000")</f>
        <v>381</v>
      </c>
      <c r="C4">
        <f>COUNTIFS('Kickstarter Data'!$F:$F, "failed", 'Kickstarter Data'!$D:$D, "&gt;=5000", 'Kickstarter Data'!$D:$D, "&lt;10000")</f>
        <v>283</v>
      </c>
      <c r="D4">
        <f>COUNTIFS('Kickstarter Data'!$F:$F, "canceled", 'Kickstarter Data'!$D:$D, "&gt;=5000", 'Kickstarter Data'!$D:$D, 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9" x14ac:dyDescent="0.35">
      <c r="A5" t="s">
        <v>8392</v>
      </c>
      <c r="B5">
        <f>COUNTIFS('Kickstarter Data'!$F:$F, "successful", 'Kickstarter Data'!$D:$D, "&gt;=10000", 'Kickstarter Data'!$D:$D, "&lt;15000")</f>
        <v>168</v>
      </c>
      <c r="C5">
        <f>COUNTIFS('Kickstarter Data'!$F:$F, "failed", 'Kickstarter Data'!$D:$D, "&gt;=10000", 'Kickstarter Data'!$D:$D, "&lt;15000")</f>
        <v>144</v>
      </c>
      <c r="D5">
        <f>COUNTIFS('Kickstarter Data'!$F:$F, "canceled", 'Kickstarter Data'!$D:$D, "&gt;=10000", 'Kickstarter Data'!$D:$D, 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9" x14ac:dyDescent="0.35">
      <c r="A6" t="s">
        <v>8393</v>
      </c>
      <c r="B6">
        <f>COUNTIFS('Kickstarter Data'!$F:$F, "successful", 'Kickstarter Data'!$D:$D, "&gt;=15000", 'Kickstarter Data'!$D:$D, "&lt;20000")</f>
        <v>94</v>
      </c>
      <c r="C6">
        <f>COUNTIFS('Kickstarter Data'!$F:$F, "failed", 'Kickstarter Data'!$D:$D, "&gt;=15000", 'Kickstarter Data'!$D:$D, "&lt;20000")</f>
        <v>90</v>
      </c>
      <c r="D6">
        <f>COUNTIFS('Kickstarter Data'!$F:$F, "canceled", 'Kickstarter Data'!$D:$D, "&gt;=15000", 'Kickstarter Data'!$D:$D, 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9" x14ac:dyDescent="0.35">
      <c r="A7" t="s">
        <v>8394</v>
      </c>
      <c r="B7">
        <f>COUNTIFS('Kickstarter Data'!$F:$F, "successful", 'Kickstarter Data'!$D:$D, "&gt;=20000", 'Kickstarter Data'!$D:$D, "&lt;25000")</f>
        <v>62</v>
      </c>
      <c r="C7">
        <f>COUNTIFS('Kickstarter Data'!$F:$F, "failed", 'Kickstarter Data'!$D:$D, "&gt;=20000", 'Kickstarter Data'!$D:$D, "&lt;25000")</f>
        <v>72</v>
      </c>
      <c r="D7">
        <f>COUNTIFS('Kickstarter Data'!$F:$F, "canceled", 'Kickstarter Data'!$D:$D, "&gt;=20000", 'Kickstarter Data'!$D:$D, 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9" x14ac:dyDescent="0.35">
      <c r="A8" t="s">
        <v>8395</v>
      </c>
      <c r="B8">
        <f>COUNTIFS('Kickstarter Data'!$F:$F, "successful", 'Kickstarter Data'!$D:$D, "&gt;=25000", 'Kickstarter Data'!$D:$D, "30000")</f>
        <v>26</v>
      </c>
      <c r="C8">
        <f>COUNTIFS('Kickstarter Data'!$F:$F, "failed", 'Kickstarter Data'!$D:$D, "&gt;=25000", 'Kickstarter Data'!$D:$D, "30000")</f>
        <v>31</v>
      </c>
      <c r="D8">
        <f>COUNTIFS('Kickstarter Data'!$F:$F, "canceled", 'Kickstarter Data'!$D:$D, "&gt;=25000", 'Kickstarter Data'!$D:$D, "30000")</f>
        <v>12</v>
      </c>
      <c r="E8">
        <f t="shared" si="0"/>
        <v>69</v>
      </c>
      <c r="F8" s="15">
        <f t="shared" si="1"/>
        <v>0.37681159420289856</v>
      </c>
      <c r="G8" s="15">
        <f t="shared" si="2"/>
        <v>0.44927536231884058</v>
      </c>
      <c r="H8" s="15">
        <f t="shared" si="3"/>
        <v>0.17391304347826086</v>
      </c>
    </row>
    <row r="9" spans="1:9" x14ac:dyDescent="0.35">
      <c r="A9" t="s">
        <v>8396</v>
      </c>
      <c r="B9">
        <f>COUNTIFS('Kickstarter Data'!$F:$F, "successful", 'Kickstarter Data'!$D:$D, "&gt;=30000", 'Kickstarter Data'!$D:$D, "&lt;35000")</f>
        <v>32</v>
      </c>
      <c r="C9">
        <f>COUNTIFS('Kickstarter Data'!$F:$F, "failed", 'Kickstarter Data'!$D:$D, "&gt;=30000", 'Kickstarter Data'!$D:$D, "&lt;35000")</f>
        <v>37</v>
      </c>
      <c r="D9">
        <f>COUNTIFS('Kickstarter Data'!$F:$F, "canceled", 'Kickstarter Data'!$D:$D, "&gt;=30000", 'Kickstarter Data'!$D:$D, 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x14ac:dyDescent="0.35">
      <c r="A10" t="s">
        <v>8397</v>
      </c>
      <c r="B10">
        <f>COUNTIFS('Kickstarter Data'!$F:$F, "successful", 'Kickstarter Data'!$D:$D, "&gt;=35000", 'Kickstarter Data'!$D:$D, "&lt;40000")</f>
        <v>26</v>
      </c>
      <c r="C10">
        <f>COUNTIFS('Kickstarter Data'!$F:$F, "failed", 'Kickstarter Data'!$D:$D, "&gt;=35000", 'Kickstarter Data'!$D:$D, "&lt;40000")</f>
        <v>22</v>
      </c>
      <c r="D10">
        <f>COUNTIFS('Kickstarter Data'!$F:$F, "canceled", 'Kickstarter Data'!$D:$D, "&gt;=35000", 'Kickstarter Data'!$D:$D, 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9" x14ac:dyDescent="0.35">
      <c r="A11" t="s">
        <v>8398</v>
      </c>
      <c r="B11">
        <f>COUNTIFS('Kickstarter Data'!$F:$F, "successful", 'Kickstarter Data'!$D:$D, "&gt;=40000", 'Kickstarter Data'!$D:$D, "&lt;45000")</f>
        <v>21</v>
      </c>
      <c r="C11">
        <f>COUNTIFS('Kickstarter Data'!$F:$F, "failed", 'Kickstarter Data'!$D:$D, "&gt;=40000", 'Kickstarter Data'!$D:$D, "&lt;45000")</f>
        <v>16</v>
      </c>
      <c r="D11">
        <f>COUNTIFS('Kickstarter Data'!$F:$F, "canceled", 'Kickstarter Data'!$D:$D, "&gt;=40000", 'Kickstarter Data'!$D:$D, 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9" x14ac:dyDescent="0.35">
      <c r="A12" t="s">
        <v>8399</v>
      </c>
      <c r="B12">
        <f>COUNTIFS('Kickstarter Data'!$F:$F, "successful", 'Kickstarter Data'!$D:$D, "&gt;=45000", 'Kickstarter Data'!$D:$D, "&lt;50000")</f>
        <v>6</v>
      </c>
      <c r="C12">
        <f>COUNTIFS('Kickstarter Data'!$F:$F, "failed", 'Kickstarter Data'!$D:$D, "&gt;=45000", 'Kickstarter Data'!$D:$D, "&lt;50000")</f>
        <v>11</v>
      </c>
      <c r="D12">
        <f>COUNTIFS('Kickstarter Data'!$F:$F, "canceled", 'Kickstarter Data'!$D:$D, "&gt;=45000", 'Kickstarter Data'!$D:$D, 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9" ht="29.5" customHeight="1" x14ac:dyDescent="0.35">
      <c r="A13" s="3" t="s">
        <v>8400</v>
      </c>
      <c r="B13">
        <f>COUNTIFS('Kickstarter Data'!$F:$F, "successful", 'Kickstarter Data'!$D:$D, "&gt;=50000")</f>
        <v>86</v>
      </c>
      <c r="C13">
        <f>COUNTIFS('Kickstarter Data'!$F:$F, "failed", 'Kickstarter Data'!$D:$D, "&gt;=50000")</f>
        <v>258</v>
      </c>
      <c r="D13">
        <f>COUNTIFS('Kickstarter Data'!$F:$F, "canceled", 'Kickstarter Data'!$D:$D,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1EDF6-9EB9-4D9A-8AC9-5FB74E86CBBC}">
  <dimension ref="A1:L2186"/>
  <sheetViews>
    <sheetView tabSelected="1" workbookViewId="0">
      <selection activeCell="L16" sqref="L16"/>
    </sheetView>
  </sheetViews>
  <sheetFormatPr defaultRowHeight="14.5" x14ac:dyDescent="0.35"/>
  <cols>
    <col min="1" max="1" width="21.25" customWidth="1"/>
    <col min="2" max="2" width="16.6640625" customWidth="1"/>
    <col min="4" max="4" width="21.25" customWidth="1"/>
    <col min="5" max="5" width="18.25" customWidth="1"/>
    <col min="8" max="8" width="15.58203125" customWidth="1"/>
    <col min="9" max="9" width="10.58203125" customWidth="1"/>
    <col min="12" max="12" width="30.75" customWidth="1"/>
  </cols>
  <sheetData>
    <row r="1" spans="1:12" x14ac:dyDescent="0.35">
      <c r="A1" s="1" t="s">
        <v>8218</v>
      </c>
      <c r="B1" s="1" t="s">
        <v>8262</v>
      </c>
      <c r="D1" s="1" t="s">
        <v>8218</v>
      </c>
      <c r="E1" s="1" t="s">
        <v>8262</v>
      </c>
      <c r="I1" s="12" t="s">
        <v>8407</v>
      </c>
      <c r="J1" s="12" t="s">
        <v>8408</v>
      </c>
    </row>
    <row r="2" spans="1:12" x14ac:dyDescent="0.35">
      <c r="A2" t="s">
        <v>8219</v>
      </c>
      <c r="B2">
        <v>182</v>
      </c>
      <c r="D2" t="s">
        <v>8221</v>
      </c>
      <c r="E2">
        <v>0</v>
      </c>
      <c r="H2" s="12" t="s">
        <v>8401</v>
      </c>
      <c r="I2" s="5">
        <f>AVERAGE(B:B)</f>
        <v>194.42517162471395</v>
      </c>
      <c r="J2" s="5">
        <f>AVERAGE(E:E)</f>
        <v>17.709803921568628</v>
      </c>
    </row>
    <row r="3" spans="1:12" x14ac:dyDescent="0.35">
      <c r="A3" t="s">
        <v>8219</v>
      </c>
      <c r="B3">
        <v>79</v>
      </c>
      <c r="D3" t="s">
        <v>8221</v>
      </c>
      <c r="E3">
        <v>1</v>
      </c>
      <c r="H3" s="12" t="s">
        <v>8402</v>
      </c>
      <c r="I3">
        <f>MEDIAN(B:B)</f>
        <v>62</v>
      </c>
      <c r="J3">
        <f>MEDIAN(E:E)</f>
        <v>4</v>
      </c>
    </row>
    <row r="4" spans="1:12" x14ac:dyDescent="0.35">
      <c r="A4" t="s">
        <v>8219</v>
      </c>
      <c r="B4">
        <v>35</v>
      </c>
      <c r="D4" t="s">
        <v>8221</v>
      </c>
      <c r="E4">
        <v>10</v>
      </c>
      <c r="H4" s="12" t="s">
        <v>8403</v>
      </c>
      <c r="I4">
        <f>MIN(B:B)</f>
        <v>1</v>
      </c>
      <c r="J4">
        <f>MIN(E:E)</f>
        <v>0</v>
      </c>
    </row>
    <row r="5" spans="1:12" x14ac:dyDescent="0.35">
      <c r="A5" t="s">
        <v>8219</v>
      </c>
      <c r="B5">
        <v>150</v>
      </c>
      <c r="D5" t="s">
        <v>8221</v>
      </c>
      <c r="E5">
        <v>0</v>
      </c>
      <c r="H5" s="12" t="s">
        <v>8404</v>
      </c>
      <c r="I5">
        <f>MAX(B:B)</f>
        <v>26457</v>
      </c>
      <c r="J5">
        <f>MAX(E:E)</f>
        <v>1293</v>
      </c>
    </row>
    <row r="6" spans="1:12" x14ac:dyDescent="0.35">
      <c r="A6" t="s">
        <v>8219</v>
      </c>
      <c r="B6">
        <v>284</v>
      </c>
      <c r="D6" t="s">
        <v>8221</v>
      </c>
      <c r="E6">
        <v>7</v>
      </c>
      <c r="H6" s="12" t="s">
        <v>8405</v>
      </c>
      <c r="I6" s="5">
        <f>_xlfn.VAR.P(B:B)</f>
        <v>712840.9867348104</v>
      </c>
      <c r="J6" s="5">
        <f>_xlfn.VAR.P(E:E)</f>
        <v>3773.2216685890044</v>
      </c>
    </row>
    <row r="7" spans="1:12" x14ac:dyDescent="0.35">
      <c r="A7" t="s">
        <v>8219</v>
      </c>
      <c r="B7">
        <v>47</v>
      </c>
      <c r="D7" t="s">
        <v>8221</v>
      </c>
      <c r="E7">
        <v>0</v>
      </c>
      <c r="H7" s="12" t="s">
        <v>8406</v>
      </c>
      <c r="I7" s="5">
        <f>_xlfn.STDEV.P(B:B)</f>
        <v>844.29910975602149</v>
      </c>
      <c r="J7" s="5">
        <f>_xlfn.STDEV.P(E:E)</f>
        <v>61.426555076684906</v>
      </c>
    </row>
    <row r="8" spans="1:12" x14ac:dyDescent="0.35">
      <c r="A8" t="s">
        <v>8219</v>
      </c>
      <c r="B8">
        <v>58</v>
      </c>
      <c r="D8" t="s">
        <v>8221</v>
      </c>
      <c r="E8">
        <v>1</v>
      </c>
    </row>
    <row r="9" spans="1:12" ht="29" x14ac:dyDescent="0.35">
      <c r="A9" t="s">
        <v>8219</v>
      </c>
      <c r="B9">
        <v>57</v>
      </c>
      <c r="D9" t="s">
        <v>8221</v>
      </c>
      <c r="E9">
        <v>2</v>
      </c>
      <c r="H9" s="16" t="s">
        <v>8409</v>
      </c>
      <c r="I9">
        <f>COUNTIF(B:B, "&gt;200")</f>
        <v>386</v>
      </c>
      <c r="J9">
        <f>COUNTIF(C:C, "&gt;200")</f>
        <v>0</v>
      </c>
    </row>
    <row r="10" spans="1:12" x14ac:dyDescent="0.35">
      <c r="A10" t="s">
        <v>8219</v>
      </c>
      <c r="B10">
        <v>12</v>
      </c>
      <c r="D10" t="s">
        <v>8221</v>
      </c>
      <c r="E10">
        <v>3</v>
      </c>
      <c r="J10">
        <f>COUNTIF(E:E, "&gt;18")</f>
        <v>275</v>
      </c>
    </row>
    <row r="11" spans="1:12" x14ac:dyDescent="0.35">
      <c r="A11" t="s">
        <v>8219</v>
      </c>
      <c r="B11">
        <v>20</v>
      </c>
      <c r="D11" t="s">
        <v>8221</v>
      </c>
      <c r="E11">
        <v>10</v>
      </c>
      <c r="I11">
        <f>COUNTIF(B:B, "&lt;=5")</f>
        <v>22</v>
      </c>
      <c r="J11">
        <f>COUNTIF(E:E, 0)</f>
        <v>287</v>
      </c>
    </row>
    <row r="12" spans="1:12" ht="58" x14ac:dyDescent="0.35">
      <c r="A12" t="s">
        <v>8219</v>
      </c>
      <c r="B12">
        <v>19</v>
      </c>
      <c r="D12" t="s">
        <v>8221</v>
      </c>
      <c r="E12">
        <v>10</v>
      </c>
      <c r="L12" s="3" t="s">
        <v>8410</v>
      </c>
    </row>
    <row r="13" spans="1:12" x14ac:dyDescent="0.35">
      <c r="A13" t="s">
        <v>8219</v>
      </c>
      <c r="B13">
        <v>75</v>
      </c>
      <c r="D13" t="s">
        <v>8221</v>
      </c>
      <c r="E13">
        <v>1</v>
      </c>
    </row>
    <row r="14" spans="1:12" ht="58" x14ac:dyDescent="0.35">
      <c r="A14" t="s">
        <v>8219</v>
      </c>
      <c r="B14">
        <v>827</v>
      </c>
      <c r="D14" t="s">
        <v>8221</v>
      </c>
      <c r="E14">
        <v>0</v>
      </c>
      <c r="L14" s="3" t="s">
        <v>8411</v>
      </c>
    </row>
    <row r="15" spans="1:12" ht="101.5" x14ac:dyDescent="0.35">
      <c r="A15" t="s">
        <v>8219</v>
      </c>
      <c r="B15">
        <v>51</v>
      </c>
      <c r="D15" t="s">
        <v>8221</v>
      </c>
      <c r="E15">
        <v>0</v>
      </c>
      <c r="L15" s="3" t="s">
        <v>8412</v>
      </c>
    </row>
    <row r="16" spans="1:12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046648:A1048576">
    <cfRule type="containsText" dxfId="24" priority="21" operator="containsText" text="live">
      <formula>NOT(ISERROR(SEARCH("live",A1046648)))</formula>
    </cfRule>
    <cfRule type="containsText" dxfId="23" priority="22" operator="containsText" text="canceled">
      <formula>NOT(ISERROR(SEARCH("canceled",A1046648)))</formula>
    </cfRule>
    <cfRule type="containsText" dxfId="22" priority="23" operator="containsText" text="failed">
      <formula>NOT(ISERROR(SEARCH("failed",A1046648)))</formula>
    </cfRule>
    <cfRule type="containsText" dxfId="21" priority="24" operator="containsText" text="failed">
      <formula>NOT(ISERROR(SEARCH("failed",A1046648)))</formula>
    </cfRule>
    <cfRule type="containsText" dxfId="20" priority="25" operator="containsText" text="successful">
      <formula>NOT(ISERROR(SEARCH("successful",A1046648)))</formula>
    </cfRule>
  </conditionalFormatting>
  <conditionalFormatting sqref="D1045993:D1048576">
    <cfRule type="containsText" dxfId="19" priority="16" operator="containsText" text="live">
      <formula>NOT(ISERROR(SEARCH("live",D1045993)))</formula>
    </cfRule>
    <cfRule type="containsText" dxfId="18" priority="17" operator="containsText" text="canceled">
      <formula>NOT(ISERROR(SEARCH("canceled",D1045993)))</formula>
    </cfRule>
    <cfRule type="containsText" dxfId="17" priority="18" operator="containsText" text="failed">
      <formula>NOT(ISERROR(SEARCH("failed",D1045993)))</formula>
    </cfRule>
    <cfRule type="containsText" dxfId="16" priority="19" operator="containsText" text="failed">
      <formula>NOT(ISERROR(SEARCH("failed",D1045993)))</formula>
    </cfRule>
    <cfRule type="containsText" dxfId="15" priority="20" operator="containsText" text="successful">
      <formula>NOT(ISERROR(SEARCH("successful",D1045993)))</formula>
    </cfRule>
  </conditionalFormatting>
  <conditionalFormatting sqref="A1:A1046647">
    <cfRule type="containsText" dxfId="14" priority="6" operator="containsText" text="live">
      <formula>NOT(ISERROR(SEARCH("live",A1)))</formula>
    </cfRule>
    <cfRule type="containsText" dxfId="13" priority="7" operator="containsText" text="canceled">
      <formula>NOT(ISERROR(SEARCH("canceled",A1)))</formula>
    </cfRule>
    <cfRule type="containsText" dxfId="12" priority="8" operator="containsText" text="failed">
      <formula>NOT(ISERROR(SEARCH("failed",A1)))</formula>
    </cfRule>
    <cfRule type="containsText" dxfId="11" priority="9" operator="containsText" text="failed">
      <formula>NOT(ISERROR(SEARCH("failed",A1)))</formula>
    </cfRule>
    <cfRule type="containsText" dxfId="10" priority="10" operator="containsText" text="successful">
      <formula>NOT(ISERROR(SEARCH("successful",A1)))</formula>
    </cfRule>
  </conditionalFormatting>
  <conditionalFormatting sqref="D1:D1045992">
    <cfRule type="containsText" dxfId="4" priority="1" operator="containsText" text="live">
      <formula>NOT(ISERROR(SEARCH("live",D1)))</formula>
    </cfRule>
    <cfRule type="containsText" dxfId="3" priority="2" operator="containsText" text="canceled">
      <formula>NOT(ISERROR(SEARCH("canceled",D1)))</formula>
    </cfRule>
    <cfRule type="containsText" dxfId="2" priority="3" operator="containsText" text="failed">
      <formula>NOT(ISERROR(SEARCH("failed",D1)))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Outcome vs category</vt:lpstr>
      <vt:lpstr>Sub-categories</vt:lpstr>
      <vt:lpstr>Outcome vs time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Witwer</cp:lastModifiedBy>
  <dcterms:created xsi:type="dcterms:W3CDTF">2017-04-20T15:17:24Z</dcterms:created>
  <dcterms:modified xsi:type="dcterms:W3CDTF">2020-09-20T23:33:03Z</dcterms:modified>
</cp:coreProperties>
</file>