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entiment_v2_with_reasoning"/>
    <sheet r:id="rId2" sheetId="2" name="Sheet1"/>
    <sheet r:id="rId3" sheetId="3" name="Sheet2"/>
  </sheets>
  <definedNames>
    <definedName name="_xlnm._FilterDatabase" localSheetId="1">Sheet1!$A$1:$F$752</definedName>
  </definedNames>
  <calcPr fullCalcOnLoad="1"/>
</workbook>
</file>

<file path=xl/sharedStrings.xml><?xml version="1.0" encoding="utf-8"?>
<sst xmlns="http://schemas.openxmlformats.org/spreadsheetml/2006/main" count="10718" uniqueCount="6423">
  <si>
    <t>Date</t>
  </si>
  <si>
    <t>Close</t>
  </si>
  <si>
    <t>bullish</t>
  </si>
  <si>
    <t>bearish</t>
  </si>
  <si>
    <t>neutral/uncertain</t>
  </si>
  <si>
    <t>Brent</t>
  </si>
  <si>
    <t>Net Sentiment</t>
  </si>
  <si>
    <t>Title</t>
  </si>
  <si>
    <t>Sentiment V1</t>
  </si>
  <si>
    <t>Link</t>
  </si>
  <si>
    <t>Sentiment V2</t>
  </si>
  <si>
    <t>Reasoning</t>
  </si>
  <si>
    <t>Wilmar Tumbles After $729 Million Deposit in Indonesia Palm Case - Bloomberg.com</t>
  </si>
  <si>
    <t>unrelated</t>
  </si>
  <si>
    <t>https://news.google.com/rss/articles/CBMitAFBVV95cUxQZ1VUc20zNzNuUEo1cnIxSXlPYkZSYlI5UEFQelJFd04wWlo2c3M3ZlFKdzdyZ0F5M1dwbHJNODdvNkRlNUsyYzRmbldBZ3FraHllM2RCNDRHeVpxajNZR0pRUEdhSm9wejY5QVRmZmFyelk5cHptSmUta2p4d29iTHVnanZKbW1iOHhETW54aXloZWFna1BQR3VBRnVieEVSOWE0al9iZENhQ3dSV2tnNTZvajE?oc=5</t>
  </si>
  <si>
    <t>The sentiment is 'unrelated' because the headline appears to be discussing a specific company's financial situation in relation to a palm oil case in Indonesia, which does not have any obvious connection to the oil market, making it an unrelated news item.</t>
  </si>
  <si>
    <t>Jittery markets await Fed as Mideast conflict rages on - Reuters</t>
  </si>
  <si>
    <t>https://news.google.com/rss/articles/CBMie0FVX3lxTFAwblJBdE1yMFJ2V0UyR3NzRDVqQnBwZ2FXem5jaU9Fa1p5Sno4bzRsZlRkZ29PLVdscG9ISTBlYkVXSS1VOWVrUWxZY1YyZVlfa2RSYkVHNUxLcUpLdnc4T3FHa2lMV0hZV252dUlsMEp2VFRla1VsSWZSOA?oc=5</t>
  </si>
  <si>
    <t>The sentiment is 'bearish' because the combination of market jitters and a raging Mideast conflict suggests heightened uncertainty and potential for supply disruptions, which could lead to higher oil prices and increased market volatility, weighing on investor sentiment.</t>
  </si>
  <si>
    <t>Oil Extends Gains as Trump Spurs Middle East Escalation Concerns - Bloomberg.com</t>
  </si>
  <si>
    <t>https://news.google.com/rss/articles/CBMinwFBVV95cUxOUlk3S0lMUXY3Y2xfS0xDUlhRTGpmZ0dJQTFtMzVlaS00LVdWbUVwX1RveWhXeGMtY1V6eUY5eDhFUmNRVlNVNlI4QnRMU09tS0U1cjFWWG1hSkZkUnM3RUZNVXV1UVdMNnJvNjhTcnVscXNQWTVZOFVaSmlDaGUxVC1kOFpVQ1gzeUNXMTk3M0FIMUwzN1d2UjJ2eGxlVjA?oc=5</t>
  </si>
  <si>
    <t>The sentiment is 'bullish' because the headline suggests that escalating Middle East tensions sparked by Trump's actions are driving up oil prices, which would benefit oil producers and traders, hence a bullish outlook.</t>
  </si>
  <si>
    <t>Stock Market News, June 17, 2025: Oil Rises, Stocks Slip; Israel-Iran Conflict in Spotlight - WSJ</t>
  </si>
  <si>
    <t>https://news.google.com/rss/articles/CBMijwFBVV95cUxQcDkwZnUyek1kaWx5b3pKelp3bnc2cGxBSmh0Yk4xSTRONWJnNlBlVmxIWU5TSkdDb0xtVHVqcmdOUy1DWld0SE91b1JSRy1lZm9TYjFXYlpvRWo4bW9qYlp5OVhvSTlPVGZDZ1F5SE9Uckg3U01ieV9UTmJWWUVtUDFMQUltVUNxaGh1Y3hHcw?oc=5</t>
  </si>
  <si>
    <t>The sentiment is not 'bullish' because the headline mentions "Stocks Slip", which suggests a downward movement in the stock market, which would typically be associated with a bearish sentiment, not bullish.</t>
  </si>
  <si>
    <t>Oil Options More Bullish Than After Russiaâ€™s Invasion of Ukraine - Bloomberg.com</t>
  </si>
  <si>
    <t>https://news.google.com/rss/articles/CBMitgFBVV95cUxONjZfa3pYdHFzbVFEenZwUFdCNjBLOTUtdVlRRkd6UUZ1Ty1HSi0yMXo1UU1HM2VaN25NOUdKUlFBejhPaHduRTM4NHY1eHJCTVhibHJqbGR0MWE1S0I4T0h0MEVDZTBSRFNXNHdsaGlabWFfMFd3aldaeUljX05ZR3FlNUlCWmFmRHFhZE5xa0RwaGxEQlgzc1hLNHFKeEJ6MzJBSUVvdjJNZnlUX2RpUzJuMF9GQQ?oc=5</t>
  </si>
  <si>
    <t>The sentiment is 'bullish' because the headline suggests that oil options are more optimistic now than they were during a previous period of significant geopolitical tension, implying that market participants are expecting oil prices to rise despite the current circumstances.</t>
  </si>
  <si>
    <t>Oil Prices Jump, But Middle East Oil Keeps Flowing Uninterrupted - Crude Oil Prices Today | OilPrice.com</t>
  </si>
  <si>
    <t>https://news.google.com/rss/articles/CBMiqgFBVV95cUxNTlpHSGpvTlRiQm1lc2lwSHpOelNwaWEwMEswa0lzcUU1VlFxemx2QUVjUmZPRjZhVlozaV9YOW5jSE1GdkxITnhVakVrVmJiNE5BN0lVMlBEOFBOZkdHU05zanRNOUpFMnQ5ZWo3OE5ZcHVDc3NIRnBMd0tRQW1fVlNFbXUzNnpLY0hEd2ZLNkFOU1B0RzM4N21ZTmlZVUxUdmFlcWV2S0plZ9IBrwFBVV95cUxNVEZnOUx6Mnl2WHpvMWpvRDMydF9yU0VyWE5kQmVjUHZnQXBETmhPb215clFNd1E1ZGRNZDEyZ1FMQUxKMjlSS1ZtYlpBWW5zeXlqZGV3UmF2WldIR29uVEpKZFdkdnNvRFRma3lEOTJ4M0dMalBkM0Rfc1V4RDV4ZWQtbW9KX1lQbEhueHQ0OXNCN09qcTNGNXJGdUM0X0owR2pycG5lZEVjelFsaXh3?oc=5</t>
  </si>
  <si>
    <t>The sentiment is 'bullish' because the headline suggests that despite geopolitical tensions, Middle East oil continues to flow uninterruptedly, implying that supply fears are alleviated, which can lead to increased demand and higher prices.</t>
  </si>
  <si>
    <t>Brent crude's premium to Dubai climbs to highest since September 2023 - Reuters</t>
  </si>
  <si>
    <t>https://news.google.com/rss/articles/CBMitAFBVV95cUxPRGlRUVFhN3d1X2o1ZVl0Mk9TcEYxQVJFOEwwOEJEYy1VbU9takd6SE92QzlscFI1VTdGLVpmNU1HWVBNdGZieVMwVHpCM2JzOWd0ajI0Y3hkUzdPR2drMHJJenMxVTJrTlJ1bzg2VGdhdTBNWnhKOEsxbVNUdTV3Um9sbndJWXhWVGM2SVNrRGNGTjQzQzFkYkJzUnRCODlmV3ItZkNVOXJVMG9FS28tR3JfcjA?oc=5</t>
  </si>
  <si>
    <t>The sentiment is 'bullish' because a widening premium of Brent crude to Dubai suggests that the global benchmark is strengthening relative to the Middle Eastern benchmark, implying a tightness in global oil supplies and a potential upward pressure on oil prices.</t>
  </si>
  <si>
    <t>Oil prices keep climbing as Iran-Israel conflict enters sixth day - Reuters</t>
  </si>
  <si>
    <t>https://news.google.com/rss/articles/CBMisgFBVV95cUxNTm9OdTh0ZUU3SVhhQUVCQldqSjNOZTZBdFlFcmJKTy1NcVh6RHF5QkQ3ZUdzZUFwQlBQVFBvckhuVFlSYzVXRkdFSDVINkRjNXZpQnBIbGxveU84SV9GRGVBby0wdERHOUJDYUhUUnQ3ZEd3Rl9wZndRUE45c0FmRzJUczQ4QU8zSkQxbjU4LUpIaDJ4V0JWV0ZXTFZ1dnYwVFF0Nk9GcmRqZzFGSVJJRUdR?oc=5</t>
  </si>
  <si>
    <t>The sentiment is 'bullish' because the escalation of the Iran-Israel conflict increases the risk of supply disruptions in the Middle East, which would likely lead to higher oil prices.</t>
  </si>
  <si>
    <t>Making the Oil Market, One Social Post at a Time - Bloomberg.com</t>
  </si>
  <si>
    <t>https://news.google.com/rss/articles/CBMipwFBVV95cUxQVVYwZlNrTkVNZno4NzJZLWFnREFENjhjRzJjWVlHRGtOdE4yczhJNF9VQTRzQ3lBVVI1QU1jT1lvTHBYRl90VGpFMEluRjNnbmJ5VU9IVlpDOVVLTjZRbGc0RS01RHlDeDNYb01peW9GRmd2Nlh1YkVZNXlITmdoWG9rRlRxLWZhSHpzR0p4NVliUUhrZF9rVlQtZ2ZjU0RmSndpcmxCZw?oc=5</t>
  </si>
  <si>
    <t>The sentiment is 'bearish' because the headline suggests that social media posts, which can be fleeting and unreliable, are influencing the oil market, implying a lack of fundamental strength and potentially volatile prices.</t>
  </si>
  <si>
    <t>Palm rises tracking rival soyoil, crude oil - TradingView</t>
  </si>
  <si>
    <t>https://news.google.com/rss/articles/CBMisgFBVV95cUxOd2p0QzdMemlPZ3ZtbUpzTklsSWFtcm8xT3RmbTJYRkduajNNeU1tSkM4eDA4bVRwZW1qdjFwWVluQXdRa1ZySEdyOXRjeXFhRVNKZzlwaVloeVRBVk92ODZBQmZhZlEwWmY4TlFOV3pSVWtzZEZsMW1mQ0MxdnZ2dERiWlJJdDdnUUFycW1oNXBINEZkX2NrLXdQaXBaQ1dWN3oyZW5BSzNGRWtQTm9fMXln?oc=5</t>
  </si>
  <si>
    <t>The sentiment is 'bullish' because the rise in palm oil prices is driven by positive trends in rival soyoil and crude oil, suggesting a broader upward momentum in the edible oil and energy complex.</t>
  </si>
  <si>
    <t>Oil tanker market signals more Middle East energy disruption ahead - Reuters</t>
  </si>
  <si>
    <t>https://news.google.com/rss/articles/CBMivwFBVV95cUxOVW95LTE2dE9EczVhZll0YjBoZUhweHFOZENoMk1uVERmM085RndDTlJkQmJnekZFb0wzUG14M25TZEtvQjJRVXZ6ZnZSQmZCOTY1N0lVVXJ0NHRKRFVKSG84MS12OVRsb2dZOUVKNVNmeVNuSW5WcE84YVhaRGl2N0xoTnJRWFE4Q3BEX09Wd1haekYyOUdtTmZZRnpVVFFvWjBFeEEyQzlMOUlIOE15SEtEZmFFX1BwXzNoLTBuYw?oc=5</t>
  </si>
  <si>
    <t>The sentiment is not 'bullish' because a headline suggesting more Middle East energy disruption ahead would likely signal higher prices and tighter supply, which would be bearish for the oil tanker market as it implies potential risks and obstacles to transportation, not a positive outlook.</t>
  </si>
  <si>
    <t>Oil Moves Higher After Trump Calls for Evacuation of Tehran - Bloomberg.com</t>
  </si>
  <si>
    <t>https://news.google.com/rss/articles/CBMioAFBVV95cUxPNjdyZEY3c0lZNnQ3YjkwTmh2R0hGU3owVWpuM01EeTBWT0szeEExTF9zUkVVVmF1R1Ftay12X0Y5dmoyeU1vR0ZtRjlGTkZuY00yVjZ5TzVJOG1RYW9PZjN5Ml93amZ2YWhpWlpQNkRwWjk0YkswLURZZEJkR1ZSYmR2SW1LZmVDTl9YbEt6QkdocWk1RHA5MXdIamV4a0VR?oc=5</t>
  </si>
  <si>
    <t>The sentiment is 'bullish' because geopolitical tensions triggered by a potential US-Iran conflict would likely disrupt oil supplies, leading to higher prices, hence the headline's association with a rise in oil prices.</t>
  </si>
  <si>
    <t>Mitsubishi Corp in talks for $8 billion US shale acquisition, source says - Reuters</t>
  </si>
  <si>
    <t>https://news.google.com/rss/articles/CBMitwFBVV95cUxOdnR6MUZTVDk1NS1fVVFzamJtaEZyX1NBNzRZekpBTUZaVlMzSTZUazJKTHplVXY1dEp1WEwtd0poQkt5MkJnLTk0TUdtWHVjZTZxQ0E0V2VWNnVCcjU2TktKNHZTT0Z2N29HWDdtandYZXNCTkhMd3VEd1F2bDVBbjdQTjhrNHR3eWcwOE5aR3J4S3Z0Y1BFUmd5WW55WUxMaV9wblJDNXh6QXptNTdTQ21JUjhqVjg?oc=5</t>
  </si>
  <si>
    <t>The sentiment is 'bullish' because the potential acquisition of $8 billion worth of US shale assets by Mitsubishi Corp suggests a significant investment in the oil and gas sector, indicating confidence in the industry's future prospects and potentially contributing to increased production and investment in the shale segment.</t>
  </si>
  <si>
    <t>Stock Market News, June 16, 2025: Dow Gains, Oil Drops After Iran Says It Wants to End Hostilities With Israel - WSJ</t>
  </si>
  <si>
    <t>https://news.google.com/rss/articles/CBMijwFBVV95cUxOd3lKdnVRRFQteHBNX3Q0Rm12MjhlcURXNDllTENDOVB3R1praTJDdW9nTWhSNDEyakdzT21LQmZHZ3VWYlAtMWJST0h6YVhWM0RXMm9vWXR3c0phek8wWjNpd3Rjby1LVElTd01BQTZ1WTVLamxIcWNZTlhJaDFoaFB4VlBQc1Bva2RsNjVYOA?oc=5</t>
  </si>
  <si>
    <t>The sentiment is not 'bearish' because the headline suggests that oil prices dropped due to Iran's willingness to end hostilities with Israel, implying a potential increase in oil supply and reduction in geopolitical tensions, which could be a positive development for the oil market.</t>
  </si>
  <si>
    <t>China builds a crude oil war chest amid Middle East tensions - Reuters</t>
  </si>
  <si>
    <t>https://news.google.com/rss/articles/CBMitAFBVV95cUxNNklKUEwwS1JTRzNlbmEtakloYjBPUTFuNHI3UzNXeDRvdXMtaUVXeWo2NHJaTVhsVG91cDl1THRKMV8xRV9zWGlWVUNWbHdVZklWelRPTEhGaGJoWUk5eVREZXYtd0VsUjJJaEkydEQwSGlMRk1aNFhxdV9FV3FVbEtBdTFQa3hXUXI4S1Y4ZC1kMmFsYkpZY0d6b2h2NHFHR1ZBc191RXZNZlZpSFFtdWlFaXQ?oc=5</t>
  </si>
  <si>
    <t>The sentiment is 'bullish' because China's efforts to build a crude oil war chest suggest that the country is preparing for potential supply disruptions, which could drive up oil prices and benefit oil-producing nations.</t>
  </si>
  <si>
    <t>Iranian and Israeli energy sites impacted by conflict - Reuters</t>
  </si>
  <si>
    <t>https://news.google.com/rss/articles/CBMiowFBVV95cUxOOGhvRndBRUJXRkNXV3JyVDk2cm5Mc0JETkNvSEJsSFdEWEM1bU1pYnN1UTJZT0tjRXhmbUNQeVBfTHRNUDVzeWpHSjhrb0ktbG1fNGQxYzZxS3hSbXFqM3NNc1JhMnRQalNIR2ZTOWc2TEdjaHo2TmNoM2drTlhkOXd5RDB4YXNBVmdKSTY4SVVDYmpPb2s3MzNfczNaam8xRTAw?oc=5</t>
  </si>
  <si>
    <t>The sentiment is not 'bullish' because a conflict between Iran and Israel, two significant oil-producing countries, would likely lead to supply disruptions, increased market volatility, and potentially higher oil prices, which would be a bearish signal for the energy market.</t>
  </si>
  <si>
    <t>How Much Are the Arctic's Oil and Mineral Resources Worth - Crude Oil Prices Today | OilPrice.com</t>
  </si>
  <si>
    <t>https://news.google.com/rss/articles/CBMipwFBVV95cUxQZTVFbzA3UWFHeHdLWXJKY20xemdIZXlSQVQtTVBzUFJWOTZGVXd2ZkxSTWl5MC1qNlIxeHA1eXI1R1pxaTkwSUszOVd1ZFVNVGh2TDNmMElXUTJPRUdNS2l2VTRFRkFLMEY4UUV0U292UE5FVHhpSElYVkdRejdlbGlkYzFqTENSQ1JzTTZtekxiUm1jVFEwaXVPZUMtX25lTjVvYUVFQdIBrAFBVV95cUxPRUxtTDl4NzhQUWFJWXN3NW1kWVVqNnBYRnI5dm1IbzYyeUhzamQyMS11WlcxSUNfYWtfLVh2bjlLbmJRZ1cwRVlYT0FiZGxGb1prbG0tRW1NMnQ5ZDhNVUVET0N1S0hqcVlhQkhiSFB1QlUzOHFGeXRoLWNlaDdmdWkxSkl3bWJ6eTAxVHctX0prTkFiMVJhZGVKa1Y0UzVGM3VTOFdnWlpMNTNQ?oc=5</t>
  </si>
  <si>
    <t>The sentiment is 'bullish' because the headline implies that the Arctic's oil and mineral resources have significant value, which could lead to increased investment and production in the region, ultimately supporting higher oil prices.</t>
  </si>
  <si>
    <t>Trump calls for Iran's 'unconditional surrender' as Israel-Iran air war rages on - Reuters</t>
  </si>
  <si>
    <t>https://news.google.com/rss/articles/CBMiygFBVV95cUxOUDFIdGw3RkpKQmN4WmZJaHFqdTFBNGxXYThyUzVJdjNkOC0zY3pacXFHdDZCSUhCbHctZEhpNDJVRkZQRVBKQUpvcFJwSnRJTEZ6NlNOSFpJSzFuVXBmWmxOYnRYVXdpSXJ0ZEU4TnplOVc1YmVxRTFlTUdNYWFPcng3eW5DRHVKMUw5R0I4bHRfUlpHY2xRVUIyT3JsTkJIR0puSzdnMTJ3Z2pmRWh4aXlRci0xcndLUGJ6WlhFSXo1RzQtdHRoRGxn?oc=5</t>
  </si>
  <si>
    <t>The sentiment is not 'bullish' because a heightening of geopolitical tensions and a potential war in the Middle East, particularly involving Iran, would likely lead to heightened concerns about supply disruptions and higher crude oil prices, which would be bearish for the market, not bullish.</t>
  </si>
  <si>
    <t>Conflict concerns weigh on indexes, bolster oil and US debt - Reuters</t>
  </si>
  <si>
    <t>https://news.google.com/rss/articles/CBMif0FVX3lxTE9ISjBxQ1ZMT1lKNW1RODFJRjU5V2R4S2Z0TzViRG41NWMwdWIxcVJWYzFZVG95YlREcUVwOGRoY25FajlVMTJQLTcwZDNJRXExMUlVM001M19zRmdoSldGUm13SUx5ZUtOMGVIZ3I0UUdxOXN3NV9SWDBRWHRFZ1E?oc=5</t>
  </si>
  <si>
    <t>The sentiment is not 'bullish' because the headline suggests that concerns about conflict are weighing on stock indexes, which is a bearish indicator, and the boost to oil prices is likely due to geopolitical tensions rather than a sign of economic strength or optimism.</t>
  </si>
  <si>
    <t>US Crude Oil Inventories See Sharp Drawdown, Bolstering Market Confidence - Crude Oil Prices Today | OilPrice.com</t>
  </si>
  <si>
    <t>https://news.google.com/rss/articles/CBMixwFBVV95cUxOOUFXUTBod19fUGlqOXk5a3UyRWpKTlhnR0QyeWdibE9nd0lMTVVBdEcyNm01dkxlbDNEbElQamxuamRtSWc0dEE5T0tIZGZxc01ER3AzT0NibEVXeFNuUTlwYnZJbWpLb3Jsc0V2YmJTYkFCMk1mOThabjBIamZOa0lLUUFoQTlTYWh3MWRremNoeENWdFd4NnJZY3FRM3NGYkcwT2tmRXZCUGV1MmQzNkxoTW1iMTdVSE9NUTRrenhRQnhVQklj0gHMAUFVX3lxTE5SVzFYU0pESFZZUkNHcWxjRzBKZENtbG5WemM4Nm5FNjZDckxFUjVySUFXSHU2VmJmVGF0dzRNZ09YaW92d0hDV2U1TmVKZ2VXVXNsR01aR3Y4Ulc5SmpDR1dzNVhqY1hBbXk1Y016Q0pNR0NFSTZMLWVkalJKWWVGZ1VBNkYxMkV1bGU4SnhwM0M4MGM2QlVlM0Q5TWdFbW9GakRBVmJnN2pJX2NiSkZUZXRVM21fSWRDOHpMV2RHS0w0eHRxejI1blBYUQ?oc=5</t>
  </si>
  <si>
    <t>The sentiment is 'bullish' because a sharp drawdown in US crude oil inventories suggests a tightening of supply in the market, which can lead to higher oil prices and increased market confidence.</t>
  </si>
  <si>
    <t>U.S. Steel Tariffs Add Uncertainty to Global Economy - Crude Oil Prices Today | OilPrice.com</t>
  </si>
  <si>
    <t>https://news.google.com/rss/articles/CBMimwFBVV95cUxPdjdOZTdVRnFrS0VXejVqTy0yeXdnWFRsMkJGMmQ3NkQtaG5DdFhMc19ZR2RaRlBwRDdieGN1TVZSdDJvQkh3bFhQbXZCOXpXNEZOYk8xaDF2NndzWnozX0R3Umh1aGtlRkFKR2RBa2stZDg2SF9tMnNsSEx0UEVPQWc3QThSRjYxYlB4TGlnSW9vRDhYYTJBd3ZrTdIBoAFBVV95cUxOeDRDNFA5Sk45cE1yOHdsRUpjd0FZd3c1REFQSHFIQm92NXFoaHRnVjVPMGdoaUpmTlp3bEF6LXY3MnhLbFpuVGtGbDUwUTZKSEdNNFJvcmNEQTExTEd5VmpHM1NmaEU4VDdUcUVnbWNLTWlIdUNDazFEdm5vNTliNzU4ejI5Ym52bGtmZmJobUI0MG1kLVp4dEZpUUZyZ2JB?oc=5</t>
  </si>
  <si>
    <t>The sentiment is 'bearish' because the imposition of U.S. steel tariffs is likely to lead to retaliatory measures from other countries, potentially disrupting global trade and causing economic uncertainty, which would negatively impact crude oil demand and prices.</t>
  </si>
  <si>
    <t>Two oil tankers collide, catch fire near Strait of Hormuz - Reuters</t>
  </si>
  <si>
    <t>https://news.google.com/rss/articles/CBMiugFBVV95cUxNQXZ1RHlfRFFHaWM5UTcyRkNTeUdLQVJoc0tGbnc3aWhta3dsU1NDaE1DR2Ewak4ySGIzNWduU0c0ZS10X3ExYWkzYnhHQVBUZWpwazNwaWJMTXNNT3BXSnd5Q1RrZ1g0NzAxeEtVUm13cnZtaWtheXcta1h1M3N1aDg4dlJXRU91UGZmTDBYSFZoaGFndE5vaXA2MF9fUlJ5TERIN0xqZHRpdlEyZGxZN3AzOWxnbmJhMFE?oc=5</t>
  </si>
  <si>
    <t>The sentiment is not 'bullish' because a collision and fire involving two oil tankers near a critical oil chokepoint like the Strait of Hormuz is likely to disrupt oil supplies and drive prices higher, which would be a bearish outcome for the oil market.</t>
  </si>
  <si>
    <t>Petrobras and Exxon Team Up to Win Disputed Oil Blocks in Brazil - Bloomberg.com</t>
  </si>
  <si>
    <t>https://news.google.com/rss/articles/CBMitgFBVV95cUxQeWtDZm5QNl9RS2Z4RDhsMWxkZjVZVXhsSGgteF9CdFRyMldWVGloaTgxNjZMZUhSejR0a1hFOC1DUWZtT0s5c0hWSlRwTG52Ml9CSExHcjRfeVNWeklzX1VyZDVMRzZTNUlPLUhXXy1DWkZWWF9BN1JHV2IxaXliODlYeWJqRWNyNkk2c3lZcVlKRElLMURsSzYtekF5VHZVVjk0dVVGWHB6LWxMR3IxTnFHRWdLQQ?oc=5</t>
  </si>
  <si>
    <t>The sentiment is 'bullish' because the partnership between Petrobras and Exxon to win disputed oil blocks in Brazil signals a positive development for both companies, potentially leading to increased production, revenue, and competitiveness in the Brazilian oil market.</t>
  </si>
  <si>
    <t>Middle East Conflict Sends Egypt Scrambling to Replace Israel Gas - Crude Oil Prices Today | OilPrice.com</t>
  </si>
  <si>
    <t>https://news.google.com/rss/articles/CBMivgFBVV95cUxQNmNaQkxCNVlKQ2F2cWJlRnJXcFBNS2szTW4zS1Y1OVpyMER3aEotcnpUU1F2c1FXNEkyWDNUSEg5WmZuZ3pVcjJra010UWt2aGFrSmtfZHlGb2pfRll0bGNQNGk3TUw1M1p3eG9jQVJSeWVXS2Y1UGVnbHZsNG5BNkpLU1E3UHh4UnBFdFJsTDlXVTI0UkRfcWVJUDUwZUZmc284a29fb2d2ZGFhTkFrbktxcHBfdEhQbG9LblJB0gHDAUFVX3lxTE1mMFlFT2JDZTFia3RnT0tuOEFkbVdEUDNMM04yRW9tNGlxTlpxbHhiVXBIRGhuUkt4eHpJRkJ5aTRnU0N3aVlNRFJCRzFLSWVFSFA4Z25UNWo1LUcwci1DYmZyR1NRNmR1aE9oMldXaEtWRVBSWDBXa2lZRjhtNG9UNHhQa0E3TUVoUXFxQ2ZMRUlfcVI1cDRyb3FESVVKamdEOGJkSHVHQzlyUVpDSklvelNLcDlXUUxzUTZZellRUTI4MA?oc=5</t>
  </si>
  <si>
    <t>The sentiment is 'bullish' because the headline suggests a potential supply disruption, which can drive up crude oil prices, benefiting oil producers and investors.</t>
  </si>
  <si>
    <t>Oil prices rise more than 4% as Iran-Israel conflict escalates - Reuters</t>
  </si>
  <si>
    <t>https://news.google.com/rss/articles/CBMirAFBVV95cUxNY0otLVpkcExOYnVNb0VuM0dXQW05QnhaX281Y2dKby1tV3poZmpMXzFudTV1aHhHYWk5V2ZYWDVNWkRNNmxUNUxhbi1rUFVEeXg0UEVGYUJZUGQ5WHpjYVc3ODNpbFIyS3RYYTYyUnVSRnhTMjlJZjBDQmZIVEY5RmloaFlQeTdhR3lXTDBMRmoxeUhnODE1emU2WVRma0ppanByb2ZwdlBZeksy?oc=5</t>
  </si>
  <si>
    <t>The sentiment is 'bullish' because the escalation of the Iran-Israel conflict is likely to disrupt oil supplies from the Middle East, leading to concerns about reduced output and higher prices.</t>
  </si>
  <si>
    <t>Israel-Iran: Fuel Tanker Rates Surge as Mideast Conflict Puts Hormuz in Focus - Bloomberg.com</t>
  </si>
  <si>
    <t>https://news.google.com/rss/articles/CBMitgFBVV95cUxNelVTcWVWTjl6Vm1oZ1NOdUNHRlRoWGM2aVpaZmVvQzdMZU1FTGk0UDF3VHIzZ0NNNFRxV3VaZkJlRGZ1SG11ZWtfY2hnYkhNYTBUNi1QYVNkR1Z3VndYc2w5NW5OeVJIdGZCMzJINEEwdFA0b2lIUEo5dGJ0VGE0OWFCR2dodUt3UnozdkdodktvQzBla00yOWhqaGlhdjRqZkJkZFlheTZEby1NZmJRdk9rN2F3QQ?oc=5</t>
  </si>
  <si>
    <t>The sentiment is 'bullish' because the headline suggests a surge in fuel tanker rates, which implies an increase in demand for tanker services, likely driven by concerns over supply disruptions in the Strait of Hormuz, thereby supporting higher oil prices and bullish market sentiment.</t>
  </si>
  <si>
    <t>European shares slide to near one-month low on Israel-Iran tensions - Reuters</t>
  </si>
  <si>
    <t>https://news.google.com/rss/articles/CBMitgFBVV95cUxQbWNLOHdIOFNzNzhCdVQxcVl4eWhIV3h4QkxqdW5GRl8tOVhGQXdrM2RFSlNCc1RnY2hoMEoyeVVOZXNfWmJaUnlER1UzU2FrSzZDMWFsajBod3JDb2hEWWU2bGdFdm4zV2xlM0VDalZFZDhfdGRTZG40bDd5RUtXNERoQXdubjF5T214dl9ZU1UyS2U5bHY2bVROUUhhZlBNcTBYUG1UUUZwRUNhVXNQRS1WWHlqZw?oc=5</t>
  </si>
  <si>
    <t>The sentiment is 'bearish' because escalating tensions between Israel and Iran have historically led to concerns about oil supply disruptions, which can drive up energy prices and weigh on the broader stock market, thus justifying a negative market outlook.</t>
  </si>
  <si>
    <t>Oil Surges over 3% As Israel Strikes Iran's Natanz Enrichment Facility - Crude Oil Prices Today | OilPrice.com</t>
  </si>
  <si>
    <t>https://news.google.com/rss/articles/CBMiwgFBVV95cUxNaU8yVVNEQWcyMTc2cF9uTTNyZ21rUFd3bnJuSDJYQUFzUmd2M2pCNDVHem1uT1puY1E4WjlvN3l5VVVoaGdkQlY3MTBJVUw4cEl3a0JGZWNqNFRWcHh4ZEhlNm95ZFh2UVFJWTBrNXV4TUZNYi1IakV2UVVON2FBOFRqaXBXRVhmR05xSWFpQnlqWFpCWktlOEhZZVFPa3Z0dGFna0hPMEpCTUNmOTYxNFpFZk5XQjlyVWt3UmpGVmlnd9IBxwFBVV95cUxOV25TUDFZaWJudlVjTzJxQklDdFFPUzlMb3FVY3NmeGhEbVBBX2JXRG5TTzVlQWZ6OF9IekNBZjBjaTQzS3JjV19PaXNHVWU2djBUenZSMHZteXVYUV9BNUtMd0tKOFU2ZUNmS0Y3Tm84dEo0M1Jld0lpMUpHX2ZGMGJfUkJhQ2F0YXdjaGJZR1dmZ2VqQzRRZlhNVTljR0JYR0swOXY2cjBBbGxLMHVIZUtUVHZPVFpza2MweEVDRFp2MTZwTUIw?oc=5</t>
  </si>
  <si>
    <t>The sentiment is 'bullish' because the headline suggests a significant supply disruption in the oil market, as the strike on Iran's Natanz enrichment facility could lead to a reduction in Iranian oil exports, thereby increasing crude oil prices.</t>
  </si>
  <si>
    <t>India's Energy Index Struggles at Key Level With Rising Oil Prices - Bloomberg.com</t>
  </si>
  <si>
    <t>https://news.google.com/rss/articles/CBMiswFBVV95cUxPOUw1dmYyTHI4VXJWTXcyUGhZXzhvZzhMNmlGOTFfQ0Z0VVFhemlTYS1zYkVQOWhYT0k4NnhDRFpmeXQ3MjVqUzdYR3ZubFJTZTB0YUZWQy1oRmYxZGhVWms4NUN6R1JpOEwxX0JRUm1qOVR5T0VDVXgxYTJ5MGlFak1UMjI1TjNaSXY0WHM2U3pqS291c3hsamJ2QUhxZ2QyT21HMS04aW5xSWwtTHY2OURfZw?oc=5</t>
  </si>
  <si>
    <t>The sentiment is 'bearish' because the headline suggests that India's energy index is struggling to break through a key level, implying a lack of upward momentum, which is likely due to the upward pressure of rising oil prices, a fundamental bearish factor for the energy sector.</t>
  </si>
  <si>
    <t>PetroChina Looks to De-Risk LNG Trades with North American Supply - Crude Oil Prices Today | OilPrice.com</t>
  </si>
  <si>
    <t>neutral</t>
  </si>
  <si>
    <t>https://news.google.com/rss/articles/CBMivgFBVV95cUxOd3dweXlVVW9pS3dwMnVpQ2pVaHd5bFdfdDJlUHhVV3QwY0RsUkd5S2ZlY2xkRXhTQWV4UzZ0RUJoVUplWFlvOC1JVFhTaFo0aV9nSnNQTldBaTB4QUNQUDBnbmNRbUFKNThEaklmZGp4MktyVHdQd3dsQ0pUN3NlTGFTQVNqRE1WTks2RFJ4RWZobG5YV2Nab0xWNzcxdmpMMk9idHN2X3Jtb2RZa21QdGMxYUZYdVNNbjVRR3Bn0gHDAUFVX3lxTE0xX01NNGRSU1lLczF3UkJzdUNlbzYtZ1pRNGlxWndYMXJuVEVaN2phR3lyMkppR0FFOFJJZ1Q2a184SVB2N0wzWDBQY0s5eDRwZjlUb0QtbUEtRE14SnhaYk1sRmtCbmZyb0NNaFZlb3dlVzZrZTk1TEw4cDM2eTFDSVFjM1g5T0tOOUFwSTRUYVNDNVpmSWlCRzN5NWpyWmdfUnpPUzZ0Y0ZnMXJMQ2Y4dllaaDNZTUxXUktFQzY2a3hsRQ?oc=5</t>
  </si>
  <si>
    <t>The sentiment is 'unrelated' because the headline primarily discusses PetroChina's strategy to diversify its LNG supply by incorporating North American sources, which does not convey a clear positive, negative, or neutral emotional tone, making it an unrelated sentiment.</t>
  </si>
  <si>
    <t>Oil Price Surge Threatens Asian Currencies - Crude Oil Prices Today | OilPrice.com</t>
  </si>
  <si>
    <t>https://news.google.com/rss/articles/CBMinwFBVV95cUxNbmFoR05YeENScVRKT1ZLeFZ5SGxJZ0ZnSDlncUJsbF9nZzBCZFJ2dTRiYXlNbjl3NDdEVWV2YjdHbXlRdUhNb1hNZkd2WXkteDRsVTdzdkJlUThhZldYcXRqMk5WUUFsbXFkQWR0Z285V3ZKTE5UeFN1cHBZOENwb3A2aDZZc0VzOVhHb0wxNEZZNkQzMnBoMEVzYVNUVlHSAaQBQVVfeXFMTzhkci1KRmJaT3BsbkVMdElpT19vSngxWE1nMlpDeDZvVnNTdE9aTWtZZ1B5Q1FzNzBCXzJXd2xCMnMwTDhEUUFFaEc0MHNSZkFhU3dDNXlGRUxTSlhMRkxuNWdUUTdzcTNHQWl2NWMxYXQzQnBRRjgwUXJwWDB6SG1hWVRuR3JQU2NpdnE5eG4tREg1RVJGNEQ3UDBsUzlydzRZNEM?oc=5</t>
  </si>
  <si>
    <t>The sentiment is 'bearish' because the headline suggests that a surge in oil prices poses a threat to Asian currencies, implying a negative impact on the region's economies and financial markets.</t>
  </si>
  <si>
    <t>IEA Doubles Down On Peak Oil Demand Forecast - Crude Oil Prices Today | OilPrice.com</t>
  </si>
  <si>
    <t>https://news.google.com/rss/articles/CBMikAFBVV95cUxPdlc2ZEt1S0M5MzZkTUNYVkdPTmNSaFlpSE1EX2Q3eTNZcjhsR1lPX1BPUU1EX0REb05PZWdtcGs0dUFxQmxvaHRWUDNTaGoycGI5cVQyRVRZd0h3TFgydHJNVk1hakp3dWRtNGRzNzhEc01GVzhQRnJpT3F2UXFWMEJ3b2x5bnJpRDI3MV96SGnSAZYBQVVfeXFMTjNEQ2prNUVkeVVQSkg0Z2FxRW5kX2M2SFotT0wzdGVfaGU2N3VqU1lHTkgxOGlBTEhGOGxrLUxkckUxZ3hzbFJqby1mWTcwWXhTUjdBbmEwMmZvSTZhclY0Vmg5UmotQXBFaHh2MktiZnVqaDR2ZDZlTE5oRHJPWVYzWDlVcVNQWU1BY1ZKTHB4ZmdEOWl3?oc=5</t>
  </si>
  <si>
    <t>error</t>
  </si>
  <si>
    <t>Could not determine sentiment.</t>
  </si>
  <si>
    <t>Oil Shippers Pause Offers to Middle East as Conflict Intensifies - Bloomberg.com</t>
  </si>
  <si>
    <t>https://news.google.com/rss/articles/CBMitgFBVV95cUxQSVc0U1JJdU80a1cwd0lEVFhqMVRfNW05R2d5dzR5LWJMclhhalBhaFNxM252ZWRtOU0wVWdHVm5ONmJjcDdIRmpMRFdtVmpid0RqV3FyMXBPLUYya3VaYkJ2NFNtbmEwRUtVOVpfV19PQldLMzVKWUk5ejhFTERITWZrd1ZZbHItT2EzTDcybjhZQlhPenEzZzhteWEzYTVBaWNXR0o4LUx6b0ZLbGZPT0ZGZm1BZw?oc=5</t>
  </si>
  <si>
    <t>World's Top Oil Trader Sees Lower U.S. Output in 2025 - Crude Oil Prices Today | OilPrice.com</t>
  </si>
  <si>
    <t>https://news.google.com/rss/articles/CBMiqgFBVV95cUxQenZGdl9nOWh2VjYyM0RKMDZzYzdYVGl3allTa1ZfSjZMZ0RGM1hfbFRCOG1LeTlaOE5DQ1dHbFdpRmVUS1NSQk9FZl9xalZwNkZnSUJRMldmbEp1cEVqYUZjZlR0Z2hNLWNnTVdWenJUclVZdFo5azFYUlM2dHBOWTR5QVlaQmNOWFpsU3NWdWExQndjS3pES1UwMDRMVTlVU3ZPaGJlbFRrUdIBrwFBVV95cUxPTHBDdlB6aTlOcmJ5bHEtLVRMV0k4SXA3OUlEek14cGY3VnRyakRTYUMwQkpUd2l4MV9keW96dVlsUHJiY2FYMXRtOXVXM0NGOEVTUjdCbVM2TjlhOU80OG9vdzBQYVo5NGN2ODNrY0VEUjd1bXNTR3NmVWR6YkV5YkVQSjdjQmRnUjFaRFNDU2FfbnlzM3lGQ2dEUlhVRGY2LUNTeXZwOWV1ZjgxVzkw?oc=5</t>
  </si>
  <si>
    <t>Swapping Oil Barrels for Pork Barrels Is a Terrible Trade - Bloomberg.com</t>
  </si>
  <si>
    <t>https://news.google.com/rss/articles/CBMixAFBVV95cUxOajFMaEktdjZOclVpbXhDdDcxVjM4QUFPa1NTWGFza1V2MFlDRnRnY1dIVFoyUEZ0RnhqeWJYOVdkM3Y0RDYyRnozMUJKQmZuU0hEYjVsME04dzg5c19sNVZIbzRYVWRCazdPUV9HNnNrZ25JN3VWQzhHTTVySF9sd0djR2pGU2ROQ2JDaTBfVlZrNFlqMnZWeHZzV2piREpJcUo5SkdPYXdhaXZXRlpac2Vaa1lzRVRWVmxBRUU4bmVKdUtX?oc=5</t>
  </si>
  <si>
    <t>The sentiment is 'bearish' because the headline suggests that the shift from oil barrels to pork barrels is a negative trade, implying that the oil market is losing value or importance, which is a bearish outlook.</t>
  </si>
  <si>
    <t>Turkey expects no issues with oil and gas supply amid Israel-Iran conflict - Reuters</t>
  </si>
  <si>
    <t>https://news.google.com/rss/articles/CBMivwFBVV95cUxOM1RjSlNiMXl0Xy1nMUN5M1BPM0JUMUFTYldHOVlsZHE3UEdZa0l6cW95OVRxaHNnakJTY0RlRTJTSXlLdW9BYk9JeTBQUzd3aW9HLXhmRzVYcDFuMG1rdFo2V09tdjBqZHhkd0xhbE4zQ1NfQ1g5M1ZZM2xkTFdhNXZDTUxacVRvdnhiQk1PWE9PYmF1aXRDOGI3N1VCejVSS0VDQzN0UnBFdVltNWxZT1RycnpCNXpPcm5vTlJZMA?oc=5</t>
  </si>
  <si>
    <t>The sentiment is 'bullish' because the headline suggests that Turkey, a major oil and gas transit country, anticipates no disruptions to energy supply despite increased tensions between Israel and Iran, which could otherwise lead to supply chain concerns and upward pressure on prices.</t>
  </si>
  <si>
    <t>Investors react to BOJ decision to stand pat on interest rates - Reuters</t>
  </si>
  <si>
    <t>https://news.google.com/rss/articles/CBMipgFBVV95cUxNdmVEUkhtU2RZTUo2OEZGaGhKNU9faUItOGwwY1R4aU9qM2p2REQtdC1WT01vWEQxU1lYSGtvMnNlbk45emtCY1hneVVWancwS2ZzeFVNZHZSWEFEOWZMWnRyNXBibUNPMVVxWksxQmlpRGNnVERMMXJiTHpsZmE5eW41U1NMS1QzdGVyVGRuREdwUU5BdEZnZjVhSkVJNVhQTFIwTWt3?oc=5</t>
  </si>
  <si>
    <t>The sentiment is 'unrelated' because the headline is focused on the Bank of Japan's decision on interest rates, which has no direct connection to the oil market, and is therefore unrelated to the field of oil market analysis.</t>
  </si>
  <si>
    <t>Putin's energy point man says there is a need for more oil volumes globally - Reuters</t>
  </si>
  <si>
    <t>https://news.google.com/rss/articles/CBMisgFBVV95cUxNU0tLMU5fRFhTckpCbWRYMTBvQjBnQ3RYX180NlRtamRqc0kzd1Jpa1d1aGc3NDVEVjhzNUItODYyWUU4UDdZcUF1RGRCazlOUk5EYnBlY05pa1Q1OGlobWt4dnhVYjFsYWxUWHhrUnRQMW9OdE5mdVlILVlPRnZuM0xFaDFBQy1tWWluTEV0V20tdVl6SG1pc2RJeXFNOTg5MzNwdFg3Yl9wRkNYNEN0ZFNR?oc=5</t>
  </si>
  <si>
    <t>The sentiment is 'bullish' because the statement implies that there is a need for increased oil production, which suggests that demand is strong and may support higher prices, at least in the short term.</t>
  </si>
  <si>
    <t>World oil demand to keep growing this decade despite 2027 China peak, IEA says - Reuters</t>
  </si>
  <si>
    <t>https://news.google.com/rss/articles/CBMixAFBVV95cUxNclpsWUE0UlNfMkZLZVpwRzVHQ2gxMUhPcFJEbGRaMF9wdmlVYjdoTkRUVDVwd3ZROGdrd256TGh6d0RLaUh4bEhORGdlejRNWmYxSWhuOVNSd2J2cVRWTDg1TWpZS2F5YXo1clRtU2FWVmtUV1RWdl9Gd2ppOE5rbjhhcUctQ05nd3h5QzRFOWlTRU1Keld0bGVSVktycm83dDYtUk54TE9BWWhNNVBGVzAzM2E3Nk56OUVzWi1CN184LXoy?oc=5</t>
  </si>
  <si>
    <t>The sentiment is 'bullish' because the headline suggests that despite a potential decline in oil demand from China, the world's largest oil consumer, global oil demand will continue to grow, implying a resilient market.</t>
  </si>
  <si>
    <t>Oilâ€™s Calm Amid Iran Chaos Reflects Shift to an Era of Surplus - Bloomberg.com</t>
  </si>
  <si>
    <t>https://news.google.com/rss/articles/CBMixAFBVV95cUxNSjBuaFVaalFhU2Y1VTl4VWRsUE5kX2ZwZC1nRWpzV1J1NHcxZVlpTllDcmJfMC0xUndTczdHRTlVSDFkTlBZMkl1Yl84ZTZWcVQ4S0hCOGg5c1lCMDRIQmM1ZzJBS0JCdExnRGtPWXVSbWZ4cVVPa01DNGtibUNHR3J3N2tUWXpURGVxZDZlSGZzX0xzVl9kRDgtWGhRaFFrSkxTRXV6SWJadUp0MFoxbENTb1I1YnluTTB1RzJ3TUZBempv?oc=5</t>
  </si>
  <si>
    <t>The sentiment is 'bearish' because the headline suggests that the oil market is no longer reacting to geopolitical tensions, such as the chaos in Iran, which implies that the market is well-supplied and that prices may be subject to downward pressure.</t>
  </si>
  <si>
    <t>Banks Boost Fossil Fuel Financing for The First Time since 2021 - Crude Oil Prices Today | OilPrice.com</t>
  </si>
  <si>
    <t>https://news.google.com/rss/articles/CBMiuwFBVV95cUxOU2x4dC1PdmgzYnB3NXpJc2N4WGNfTXg5MXZGM3ZyTjV1VmJkODdsS003TEJzampUNVFrakpBNk9LN2p0Vm5KZGRyRERaMTVXLS1MQ0ZudnVIUVg3TTZOZ05xVGV2V0pwTFo0MGlUWjdkOEs1c01fSVVETWlTVDhZU2d2a1V3U3ZGV1pBbWFKNklpUlkxeHZKazVtTEFPaWxJZ09GRE1JMGMzcU1pSmVidHdrOHZWNVhzaHA40gHAAUFVX3lxTE9KTlVwbk5nTzFwYXNfVmxHaGxfUkxPaS1EUGVFaUpkNDRxNUFJNUtYenQ4aUtlVWhVRm15NGNCdTJqTzRwc3EwZFdWcWNzU19Qb0E5dzZ3ZmxRSm9IeFdFUUg2NXRSWlZlMEkyckhCV2xpQnQ5WWZKTzBnbXFia1o0Y1lUeWYzbnFtYUlYYzEyUkVyYWwzNV9UMklzYXVZMVhMYzg5UVBtTmFKRFUwczUzcWoxYzV1MFkxSEwyNnVXaQ?oc=5</t>
  </si>
  <si>
    <t>The sentiment is 'bullish' because an increase in fossil fuel financing by banks suggests a positive outlook on the industry's future prospects, which could lead to increased investment, production, and ultimately, higher crude oil prices.</t>
  </si>
  <si>
    <t>China Continues to Stockpile Crude Oil - Crude Oil Prices Today | OilPrice.com</t>
  </si>
  <si>
    <t>https://news.google.com/rss/articles/CBMimgFBVV95cUxQX0Z5ajVOY09XMVZEWTJfWUdpanROSlFvRWR5dm5qNDExN1N6X3l3TkI4dmI2TWlpclZwR1dQeUFuczBEQ2FreDhuR2xrMXgydHJFUGtETm9HWVVSOFRVX3VERlFIZDBVT19PZkNvR3R3aE1ybkZSTnZkYzJBUnBnaDdaMkp2ZmE5RHU0X0lCYzlLRVdwYXN1VEN30gGfAUFVX3lxTE9VRkRpWW14TUdVM055X0pkeF9zbURRcGdaVno2MHg2ZnB6eXVRLUxjcmxnRjNkYVcwczVod1JpeEtpdW5BZzRjRGYyVnZ1MVN3dVpnNUlZeVRBU2VJSHV0U3JXTGZBLXFwNV9lc3BBeWV1NGVWNFg4dDF5Ni1DN19EbGJGZE5KNGZkQ0N4dHBaNHpOdkc5aDRmMko1dDJTOA?oc=5</t>
  </si>
  <si>
    <t>The sentiment is 'bullish' because an increase in China's crude oil stockpiling suggests strong demand and potentially tighter global supply, which could lead to higher crude oil prices in the short term.</t>
  </si>
  <si>
    <t>Petronas, Eni to form Southeast Asia-focused gas venture by end-2025 - Reuters</t>
  </si>
  <si>
    <t>https://news.google.com/rss/articles/CBMiuwFBVV95cUxNWGpZVkN2c21rbFIyeGc4N3UwNG05dVpSaXlicWx2dGhnbUtkTlI5WEV3TTBVc2ZxQ1hHY0Vsd1RoYVFDZ1pFcng1UXJxNV83M3JoWW5PQmY1aWNMQmtDaC1FNDJzc1NWT2FzdmFBSUY4aFM3T01oS2puejZoUGxVVVRnUDdFalkwcHFWbkR6c1dzb1dJNUZGM2xtX1JsY1BQMV9rb0hVWlZyYVBLWUxQdmM2UVY4N3otQmQ0?oc=5</t>
  </si>
  <si>
    <t>The sentiment is 'unrelated' because the headline simply reports a factual announcement about the formation of a joint venture between Petronas and Eni without expressing any positive, negative, or neutral emotion or opinion, making it an unbiased and informative piece of news.</t>
  </si>
  <si>
    <t>IEA Says China Oil Demand to Peak Earlier Than Expected - Bloomberg.com</t>
  </si>
  <si>
    <t>https://news.google.com/rss/articles/CBMirwFBVV95cUxObnpBX0NMcDlVYlMyVTBKWGFYT0R2QVdDTjdiUzUzMjJpM2J2cV9SdUptMzUtZmVDV1lCR084d2dtVFI3MU1oY0lwMnRyU2VRQnpKZ2JXTmx3RnZpWm9rRnllamVYVGQyeDZqOEw0aWpRa3hxVWx2bnQ5SDVkM1QxbUpGd2VQeFhRUkJuaDgxX2JUTWpOT1U2emlFY21pcUlpdUVVZTMwZFRKaVdNdUVF?oc=5</t>
  </si>
  <si>
    <t>The sentiment is 'bearish' because a peak in Chinese oil demand implies a deceleration in growth, which would reduce the upward pressure on global oil prices and potentially lead to a surplus in the market.</t>
  </si>
  <si>
    <t>If Iranâ€™s Oil Is Cut Off, China Will Pay the Price - WSJ</t>
  </si>
  <si>
    <t>https://news.google.com/rss/articles/CBMingFBVV95cUxNSnBoazA5bnBiNEJqeDduLWQ1SW9GOUJ4TzZQQ1lmVHZsQUNQbzdDbm9JSVJkTXBTMEtEVVQwVVdrS0ZwMS0tZHpzb2I0QVllTXg2YVp2THVCalozemVqZW50UEg3ZUpaOXBOQ3I2NTVBOGozSnYwRGUwWDRaMXVUSHFRR3lNZzBnR0swalBVZGNOVWF4eGNpUUZORTJzdw?oc=5</t>
  </si>
  <si>
    <t>The sentiment is not 'bullish' because the headline suggests that if Iran's oil is cut off, China will be negatively impacted, implying potential disruptions to the global oil supply and potentially higher prices, which is actually a bearish scenario for the oil market.</t>
  </si>
  <si>
    <t>BOJ to slow pace of bond tapering next year as fresh risks emerge - Reuters</t>
  </si>
  <si>
    <t>https://news.google.com/rss/articles/CBMiowFBVV95cUxQWnNUd2czRVNjMExFckNGVlcwOU1haVNYdVYyeWx0QjlfeGhpY2RSZlJQcHhLckdRaVRRREswWnczMWZmcllZLUt3cjZ2NTRIYjBkbmxWLXh4Ri1XNGRLYmZMYXhQWE1aSmk3SmVjNmJyNlFjbEhqOTkxalRiRFpDOUZxRFpuRjRYR2FjbXdsbEdxUWlvUmx6VVM1WS1zNmVaTFVB?oc=5</t>
  </si>
  <si>
    <t>The sentiment is 'neutral/uncertain' because the headline suggests a potential change in the Bank of Japan's policy, but the impact of this change on the economy and financial markets is unclear, leaving room for interpretation and uncertainty.</t>
  </si>
  <si>
    <t>Tankers Reportedly Ablaze Near Strait of Hormuz - Crude Oil Prices Today | OilPrice.com</t>
  </si>
  <si>
    <t>https://news.google.com/rss/articles/CBMilAFBVV95cUxPQmp5MEczdlkwdE1tSWxJcWxPN3hJaGZDLWVtUkotYWdaYlJMekl2VllmMlozVnJNMHFCeXEwc09ieUZaWG9mbDdBcVJHcEdNcG81MEtwRUdwS2hzRnFvOHA1ZUJOaFVGa3R6Z2dhWlZ4cGk5YzJBT1BEWi1sN0MxU2tBUkZ4U1d3WFEwdEtHWDJFU2dZ0gGaAUFVX3lxTFByX2U2X1hEVUl2WVpYZDhrVE1TeU16OV9pbGNUQmVnVkw2UER2d0gwQ0hGNHVrUTNyUTRFWElhcktNZEpLa0FNWUluakhvMmZGZlBMenUwVUlZLWJvWjNhVllIVTJKNWVLaTlQV3ZVeVV0WjB3czlZdHgwdHZXOElRR1RpRG15c1BUN1ozUzhYbUNQQmVlMk9JTWc?oc=5</t>
  </si>
  <si>
    <t>The sentiment is 'bullish' because the report of tankers ablaze near the Strait of Hormuz, a critical oil chokepoint, suggests a potential disruption to global oil supplies, which could lead to increased crude oil prices.</t>
  </si>
  <si>
    <t>Taiwan Dollar, Baht Most at Risk From Oil Price, Barclays Says - Bloomberg.com</t>
  </si>
  <si>
    <t>https://news.google.com/rss/articles/CBMisAFBVV95cUxQanJPSnRBazBTdGh1ZmVVb1ItQy1nQTlsQzZtTU5rY1YyclBQMENGMklZWDBHWGU4blJVWEM1MkVOSUJLOEsyUkhkeGRvUVM3NHVaNDg0VG9ZcGFWX2JBQUFodWZpWDZTOEdPWnlNMGpiNWtLc21XUU9weXlxTVFvcEs0eE14aUZaWS1sN28zbWN1NDRyRXFPa01TUlBqNUh5STBOb2JpcDFzS003VU0xcg?oc=5</t>
  </si>
  <si>
    <t>The sentiment is 'bearish' because the article suggests that a potential increase in oil prices could negatively impact the value of the Taiwan dollar and Baht, implying a downward pressure on these currencies.</t>
  </si>
  <si>
    <t>BOJ Governor Ueda's comments at news conference - Reuters</t>
  </si>
  <si>
    <t>https://news.google.com/rss/articles/CBMilwFBVV95cUxONk5IaHdpLTE5bTVOZEVOc1N6QzZjY1daalJLdXRpRXRfcDE0Y1QxRldpeTZwaEMwTzJmbjN0T0VKdU5KRzNvdkZXLUZrN28zeEtxa1BkcGF1cXlaTGVhNnNkQ3JzVTVXNEh3dU83czZlelF4UTJHTjl0QU4yMEt3RFJYbW90UTEtcTJtdWZlUGVvSEoxY2tV?oc=5</t>
  </si>
  <si>
    <t>The sentiment is 'unrelated' because the headline appears to be about the Bank of Japan's governor making comments at a news conference, which has no obvious connection to the oil market.</t>
  </si>
  <si>
    <t>Austria Urges EU to Reconsider Russian Gas Ban After Peace Deal - Crude Oil Prices Today | OilPrice.com</t>
  </si>
  <si>
    <t>https://news.google.com/rss/articles/CBMiuwFBVV95cUxPbDlpNGp1ZVpvSXkyQjZmdFlYdElQbk9SREdxQjhJTmYtaUVrRGVhcGhjb0JaamVEWFNaak05Q09saGE0TnBBaERYNWpFTmRKUVRBUHhDcms4VFNGdGV6NHFrWWJPY2psWjhvelEtNHEzWUoxN1lqbEdqbkh0VEFQRmFoTWl6N1RkcElmeDFVMUtHamE3bHFWSGsySkczSmsyUFRpeUNzLVNNVDREak5UUzRJR2tLYXNzQnFV0gHAAUFVX3lxTE9SczBSam1RcDJtWDJua0xpQWRyN0plS2FpSzR2cUxjYUV2UmQyV2Q1TTNLWjFwTjN1ajBOQlFYaDZVWmozeWRNZUMxTUJRY2drU2pPbE14dThFejdMMmxGSkkzNUI4U3g1Qlk3c1YyT1k2aEN4VVlaZTlWUzVjNEZ2YU9QeV9TT2dtcGdzSEZEQWdNaEY1djZuYlBiLUkteFlwM3dPN3N5X1F3ZXpXOV9zMGFKd2RxQWpWTmgyTGg1eg?oc=5</t>
  </si>
  <si>
    <t>The sentiment is 'bearish' because the potential relaxation of sanctions on Russian gas could lead to increased supply in the market, which would put downward pressure on crude oil prices.</t>
  </si>
  <si>
    <t>Mitsubishi Eyes $8 Billion Shale Gas Acquisition - Crude Oil Prices Today | OilPrice.com</t>
  </si>
  <si>
    <t>https://news.google.com/rss/articles/CBMipgFBVV95cUxPWUZfbGE0dTJSMG1NZXU5SXFHU0duVkY3bmJIYUZwMkZiNERuVjNnang3ckV1ZE1EYWNjZkYxRHZVclljdzJCeHRsTHhENEQzVkhsS2FhR1BBZk9yaWFOZGctYjRkT3l1VURZek9Db1plREg5MjJTbndvU3dIZzlXQ2hXN19rVng3LXNfZTVXMjVhQ3BYQ2ZIT0g1M3VRTGM4R3QzMTVn0gGrAUFVX3lxTE5wY1ZYVHhUVEJLQ0JqUW5KbzFvSFoxY1cwQmo0Z2lhbkxwLVRQSGxfSmRBVVc2WnR4RjdJNUNTRmhBanQxU0tyMnh0NDVOTk9EWkJ1WHpSNmwzd2stN3RzWGdyTEt1bkVpYm02OXR6dVpYV29EQ3A5aWE3LTQ2R29HcDViTjk0SE9WUnhvS0VMRzVKd2tCUTdlQ3BpaG5BSHdxUlRSNVg3d3pkcw?oc=5</t>
  </si>
  <si>
    <t>The sentiment is 'bullish' because the acquisition of a significant shale gas asset is a sign of confidence in the long-term demand and price outlook for oil and gas, implying that Mitsubishi expects the market to remain strong and profitable.</t>
  </si>
  <si>
    <t>Oil Prices Up 2% as Israel-Iran Conflict Intensifies - Crude Oil Prices Today | OilPrice.com</t>
  </si>
  <si>
    <t>https://news.google.com/rss/articles/CBMipwFBVV95cUxPa2hsSHN2YWpsOWNybmFuY3N1OTZBV3BQWVBjU1FvN0c2cDN4emlwZDl2VFFTd3RjbEt1VkdwU0V3WjVnYVd1RzNJTEtRU0VKWXRWLVlzYlR4eVhsQm5MNm53SkJpLXh3S2gzTzFnOHdlb3BLUkhGaVoxSFBqZHRIaG1RbmthQThJSTJMbkxlWW9hWmdLb2VfaGZpRHRCbVFfLU9zZURJd9IBrAFBVV95cUxPUnVwQ0JsU2dyY2Z4R2tzN0dQSkl3RU05M3RPSDBKT2xpUHhUX3RFQzNVWnVyNHRXVmtaOFlOZm1pY21hM0VWYUgyQjNPZGhsMy1FYU9jLXNPUnlWb1Z1ZldqWGxHZ3ltb3hqQVlvcFZkTGphOVJiVzRMSS1xVVNtbldfY0FmRUc1UnA0SDVHS1dDNHRQbGRfc2pQNld0blhUU21KazdxOGlsRWht?oc=5</t>
  </si>
  <si>
    <t>The sentiment is 'bullish' because the intensification of the Israel-Iran conflict is likely to disrupt oil supplies from the Middle East, leading to increased concerns about supply security and upward pressure on oil prices.</t>
  </si>
  <si>
    <t>Germany Discusses Creating State-Owned Strategic Gas Storage - Bloomberg.com</t>
  </si>
  <si>
    <t>https://news.google.com/rss/articles/CBMisAFBVV95cUxNTlZHckE2cnl6ZTBqSkJYdVowaENyVmxNXy1zbGlORTNOUjNmd0NUdk9TX0lUSzRUOUR6Q0VkV3ljbFdSMkdvTFR4OUpleDRCRXVYX2w4NC10aTNnY3FONzRDTnhnQXFHcVRkcXRIb0ljTTdsbEU2T1BMUy15dy03ejhsT3d3MDdsWG52LTVXN2ZhTllRYVNpWXpabmNQVUQ0MWdabmVCemNxSzlNYm9aZA?oc=5</t>
  </si>
  <si>
    <t>The sentiment is 'bullish' because the creation of state-owned strategic gas storage in Germany could lead to increased energy security and reduced reliance on imports, which could stabilize prices and support demand for natural gas.</t>
  </si>
  <si>
    <t>Israel-Iran war already takes toll on oil and gas sector - Reuters</t>
  </si>
  <si>
    <t>https://news.google.com/rss/articles/CBMiqAFBVV95cUxPZTJGMF9mZ05iNWxiVzNfc2diZm90X0FLeTNrdG91QWxuajZIM0Q3Z3lTUXFhc3I5WmE5RjlWWVBlcWgtbXpncTZkZ1c4Tk9lZ2F0TDQxemg5dW11cEl2aG8xX1doS2tiN2lvbkhwdldYWm04b2g0TEtndjY4c1dFbmQ5VTJFR1A1ajBEZHM4WU5BZXVGNmdHcWxfdzQwcHZwVk5OYVgyTEU?oc=5</t>
  </si>
  <si>
    <t>The sentiment is not 'bullish' because a war between Israel and Iran would likely lead to a significant disruption in oil supplies, resulting in higher prices, not a positive outlook for the sector.</t>
  </si>
  <si>
    <t>Vitol CEO expects slight drop in US oil output this year due to lower prices - Reuters</t>
  </si>
  <si>
    <t>https://news.google.com/rss/articles/CBMiuwFBVV95cUxOZm42QXl1NGtiOFJZQnppSF9iVHVmOG1TbEVGRkFQcDBDeEFGYnVvZUROVFNMUlZtWDZ3MmY3b1pMazYyckJMV0k2eFlva19lY29qZ09sVWNXRUtCMF81UkZ6Q1AwbkhRWnVGV3BIWVRSQmZFY2dkV1E3T1BuRFVMaVVsRTAxRnpqNmV6TGVUdF93QVIwdjBSZ3ZySDlUUGQybVNXX05QVG9adjlTVXFhRlA2RXc5Q0NVNFhZ?oc=5</t>
  </si>
  <si>
    <t>The sentiment is 'bearish' because a decline in US oil output would reduce global supply, which could lead to tighter market conditions and higher prices, but in this case, the output drop is attributed to lower prices, implying a negative impact on oil producers and the industry as a whole.</t>
  </si>
  <si>
    <t>Chinaâ€™s Oil Demand Will Peak Earlier Than Expected, IEA Says - Bloomberg.com</t>
  </si>
  <si>
    <t>https://news.google.com/rss/articles/CBMirwFBVV95cUxOMjNGUnZtSlQ3MF9VOVkwWmF3b0tCWjF6TWxHV0NHQjBjZlJDbGhCNW05THF5REE1U1JwdThubmQzaThUNlNFZ3ZVU0NkT05wV2NtamRjT1p3Y054aDRNcFN5b29QSDQ0TE5SMExSRWQzT3BtNnJrRHBQcFBGamxocTcyMUZpeXRqdlVzTFljcUVqWHhpd2dsN1ZfeHkyX0ZmMU5qOW9rN2VKVUlsQW8w?oc=5</t>
  </si>
  <si>
    <t>The sentiment is 'bearish' because a peak in China's oil demand would likely lead to a decrease in global oil demand, which could put downward pressure on oil prices and negatively impact the overall oil market.</t>
  </si>
  <si>
    <t>China Cuts Steel Output as Beijingâ€™s Curbs Start to Take Effect - Bloomberg.com</t>
  </si>
  <si>
    <t>https://news.google.com/rss/articles/CBMitAFBVV95cUxPQWhwQ1l5NW5lVDFQM1psYjRxSUhBdlE1YU5mSEZFUk83UHRObnJ5dnZqMi1rMkk1VEo5cmNhSm5HRUlPbGwtUThJWHBKd1FEYWxjQVNVM3pzYlZjNngxNzlhZ1pXVmNOaEFjc2NZcklxRm5CYTZ1ZFZFZl9kcGRIZlVaRXVZaGxEeG53Z1pLbHlfbTUyNnhOdXdmTVVFeWtkbHJCYktTbnZSczlmOV93MnUwN2k?oc=5</t>
  </si>
  <si>
    <t>The sentiment is 'bearish' because a reduction in steel output in China, the world's largest consumer of industrial commodities, implies a slowdown in economic activity, which can lead to decreased demand for energy and metals, ultimately putting downward pressure on oil prices.</t>
  </si>
  <si>
    <t>What's not happening to Middle East crude supply matters more - Reuters</t>
  </si>
  <si>
    <t>https://news.google.com/rss/articles/CBMiswFBVV95cUxNWXl0QTlqdl9UMWVDVmNWWGp2X2dfRzYtMkpOMXRZS3hzbzY2ZllrOFN4OFk2Y19oRGJEUnNaLWhUT1NfSVV5SmNwbnhlb3p1ODRjc3FHeEdYNkdmYlg1S2JjLWNRZmlZcG9ucnJqRmNKX3hUY2hDOGZjdkpMUW8wcUlZTDdyYkhndWo3WjdaT192TDMtUUI1YkdaVXlGMThKeG1FdWFHVmxwSkxMQlVwbG1Bbw?oc=5</t>
  </si>
  <si>
    <t>The sentiment is 'bullish' because the headline suggests that the market is overly focused on potential disruptions to Middle East crude supply, implying that the actual supply situation may be more stable than expected, which could lead to a decrease in oil prices and a more positive market outlook.</t>
  </si>
  <si>
    <t>Oil firm as intensifying Israel-Iran conflict stokes supply disruption fears - Reuters</t>
  </si>
  <si>
    <t>https://news.google.com/rss/articles/CBMiwAFBVV95cUxNRkpXTmhxX2M3QXNYVWxIcE5nSmM2OFRRQU5sVGFyOFd5M3BWQTZEWFpFRlpuOHpZSG1xZ0NpdktzamFHcHBhWHJmTThLUkhEMDdEUHNOeXhKU1d4cGE3N3lyWlhER0dOaGpqWXZVaDJVVEs4akpjemJpYUVscFZFbkRCbEtYajY0TDVaal9ZbUlSR0tSQVN0TFFJODROd25keHJ5S240cHNIcHNxaUtydXVubTdFTFZXMjYybTNuaUk?oc=5</t>
  </si>
  <si>
    <t>The sentiment is 'bullish' because the intensifying conflict between Israel and Iran raises concerns about potential disruptions to oil supplies, which would likely drive prices upward, supporting a bullish outlook.</t>
  </si>
  <si>
    <t>China's May refinery throughput at 9-month low on plant overhauls - Reuters</t>
  </si>
  <si>
    <t>https://news.google.com/rss/articles/CBMirwFBVV95cUxNWnpKaG1LdG16cFFQcVpQTjRSMlBvTnhGekRRZ3ZWb3ZaNmZJQlZGaFBSNWswcHVtdkIzbnpKODFPMlRyazM1empVZU92SjByU2NYczJIZktYUjJDMEd0RXVPQkczeFVfUENIdFFIRVVyejFfUHpWdzVDNTVva0oyVWIzQnNMUUxhLXY3Mzh0Z0JhRTRkRlpING9yZ0xSRmN1TlU1OWh1cGV3QXpEODU4?oc=5</t>
  </si>
  <si>
    <t>The sentiment is 'bearish' because a decline in China's refinery throughput to a 9-month low implies reduced demand for crude oil, which could lead to lower oil prices and negatively impact oil producers and refiners.</t>
  </si>
  <si>
    <t>Tanker Risk Response to Iran-Israel Is The Real Oil Chokepoint - Crude Oil Prices Today | OilPrice.com</t>
  </si>
  <si>
    <t>https://news.google.com/rss/articles/CBMirwFBVV95cUxOTXdQMElRZDlqY3dCZHcwU1F1akhYWm1mQTd2MG5QZjVMTFQ3TE9zQnFOcEI4YVpKTHFRbkF3dWRWSE1UOE5XVFl1UVQ1MXV6cHJTaFZLczZUT3VQLUJ6Mk5Da0ZDd1ViSzRTWm56WnRBc2psQTBDNkpmdDBwQk0tbXJDLXljdE1RSnQ2QVZDM3RFMnJEaXRzS0JnT0VGSEF2Ri1VNTEtWlZTTXZRTTdv0gG0AUFVX3lxTE9HdFdIS1lzU2tMcGh6cjI1ckdLZTZ6bU44ZzRWQmJOSFZ0VTJxT3NYR2JpQlUwOWtTVUFSMVFUcnI1Tk9mNjgtMGdodmxnbWhaRUdrX3Rxc3hIbml6YkUzYXVWaWJLcHQ1cFV2MHN1YmdMajlvV1lnT0VBZFZrZU4wU2pFblN6Ym4wcE0wRVV4QlItWE0xcUd0cjN1U3lqOU1BQWw3MzlFMmRZVmNqcUxKY3ZuZg?oc=5</t>
  </si>
  <si>
    <t>The sentiment is 'bullish' because the headline suggests that the increased risk of tanker accidents or attacks in the Iran-Israel conflict could lead to supply disruptions, which would drive up crude oil prices, supporting a bullish outlook.</t>
  </si>
  <si>
    <t>Oil Options Attract Bulls in Heavy Trade as Mideast Risks Expand - Bloomberg.com</t>
  </si>
  <si>
    <t>https://news.google.com/rss/articles/CBMitgFBVV95cUxQc3hCS3NTbndmaTJoVFlBeGlya21YV2pHWFdNN29wb2N3Vkk5Q0l4cjZraTZUOTBBQjhqZnF3Y0N3dDVONnZ4RG1PLXlMUDJZalZTNXpNQUNDZXBWXzBSWXJOX3ZvYk4tUzhfT2JmLVpmakI2Skx5RDQtaGNVTjhVeGd4aUtkSlhBNC05b3hXMWhFVXF0RWZCWHRQRUczQUU0N0ZRQllMUGYwYTlybEo4YV9yb0NyZw?oc=5</t>
  </si>
  <si>
    <t>The sentiment is 'bullish' because the headline suggests that traders are actively seeking out oil options, which is often a sign of market optimism and anticipation of price increases, particularly in the context of escalating Middle East risks that could disrupt oil supplies.</t>
  </si>
  <si>
    <t>Palm Oil Jumps Above 4,000 Ringgit Mark to Track Soy Oil, Crude - Bloomberg.com</t>
  </si>
  <si>
    <t>https://news.google.com/rss/articles/CBMiswFBVV95cUxPTmZpUXlLN19mZ05FdHVvQjlpc1FDeWE0eTFYY3l6dGp2dDBRTHBqdkoxZkkyZGpqeDJub0FUTEJrT0x6bnhIZDd1dXFHU3d1dGhNMnRQLUlNajVUSHRrWS1waEs4NG80THFrOUUwczd4ZGFRVG5DSkdQTzdzcm90cDIxU2ZqanF2Z2ZNUFVOUndaZDNqVUU2dTY3TEpjS3hoRktodkhxRVZRN09xb09DZ1VaVQ?oc=5</t>
  </si>
  <si>
    <t>The sentiment is 'bullish' because the headline indicates that palm oil prices have surpassed the 4,000 Ringgit mark, a significant milestone, and are tracking gains in soy oil and crude, suggesting a strong upward trend in the market.</t>
  </si>
  <si>
    <t>Oil and gas important in times of conflict, Saudi Aramco CEO says - Reuters</t>
  </si>
  <si>
    <t>https://news.google.com/rss/articles/CBMiqgFBVV95cUxNczRITlg3SmVUWUp4SDY5cjV2eDBwa2hrU3dqWV9Db2s0am54d3NLRzA1cFhPc2ZoS182ZlJFLW9KOEdiNFZaajQtdG5UZDNvcW44REotS04xNlRBejJOTjBXVk1SSzlmejNOYTJtUEV3b2F5R1dMNHBFZDM4TWxvSlpPQURXcHpJZ0JxYlVKS2hpbHdfemRTZDdjUWRTclN1Yy1YQTZlN3VDQQ?oc=5</t>
  </si>
  <si>
    <t>The sentiment is 'bullish' because the CEO's statement emphasizes the importance of oil and gas during times of conflict, implying a potential increase in demand and prices, which would benefit oil producers like Saudi Aramco.</t>
  </si>
  <si>
    <t>Saskatchewan Could Double Oil Output to 1 Million Barrels a Day, Premier Says - Bloomberg.com</t>
  </si>
  <si>
    <t>https://news.google.com/rss/articles/CBMitAFBVV95cUxPQ0FkbFh6VHRHakd2ZjZVNjVaVmowYzFXVnhwaGFWWmRQbk00QXNyWXdxT1hWYUFzMnI5VTV5YUF5Z3hpdExhMHRIXzdFMDlwVGxSb01LWWZRcXhRSUJ5X2lOUzFLOUlFZmtLVE9Qa0c0NTZ2cUFlaWlvbC1wNXFZRlB1M29McWtEUzNVNUNYSXEyMkk0cldranpPYnROcVdoTmxWd0FUZHd2XzBkTEloOUhObmQ?oc=5</t>
  </si>
  <si>
    <t>The sentiment is 'bullish' because a potential doubling of oil output in Saskatchewan, a significant oil-producing region, would likely increase global oil supply and boost revenue for stakeholders in the oil industry, which would be a positive development.</t>
  </si>
  <si>
    <t>What's Next For Iran, The Nuclear Deal, And The Oil Price After Israeli Attacks - Crude Oil Prices Today | OilPrice.com</t>
  </si>
  <si>
    <t>https://news.google.com/rss/articles/CBMixAFBVV95cUxNUDFrQ0c2bDR0ZElKQy1yX09xNkxUM3FxWGtWVnJiQkkwRmR4dkFnZ3V5TUQxT0RMelFEUVdUUUJJdU94VE5TX21iUEIwMzNGZXVveUpxYloxVVZFWTNFNS1seEo4NkxITUJjaGtKX2FfM3VmSURTa3p4M0ZwaDZFdE1BLU9rRFczODQ1aUVKVGxZeTRzLXRaTkxacHY2WWZ0bEtGdzRZejc1dXI1MmRQc2gtbGRvMjl1R1VuMzlhSl9oc0dl0gHKAUFVX3lxTE1MZ0RTcGNWeVNUYWxzZlpfRFMtY3dQellvNFJ6by04a3dFRlVfemJWYUdSTHQtRWktOGVjU3NEdG5QSENpRGhVeUZlaXFkWjFrNVVWYV9Eel9ZZlBnSVdSMzh6UGJsYU56eTJRMG9JWVIzQm1NREl0Y0hrM3BRRzNzNXE0NkN2Yk1JRlRLNTl2c20xZ0ZlTWMyUlZFdkxyVllfdWlNalNDR0VMOXFNc2p3UEphZnhKd1loYVBNVU9jQ3lveTRHb01wTmc?oc=5</t>
  </si>
  <si>
    <t>The sentiment is 'bearish' because the headline suggests that Israeli attacks on Iran could lead to a disruption in oil supplies, which would normally be a bullish event, but the mention of the nuclear deal and potential diplomatic fallout implies that the situation may not necessarily result in a significant oil price increase, thus tempering any potential price gains.</t>
  </si>
  <si>
    <t>Stocks, dollar show resilience in Asia as oil gains - Reuters</t>
  </si>
  <si>
    <t>https://news.google.com/rss/articles/CBMie0FVX3lxTE1tUkU5Ulc4UUdtMkVBT3ZLVll3a2ROSVJkQnRxRDhDQVk2X2kyZ0dfeENPUXhUQzFKdEFSOS1mLV9ZUnA1ZmxZaWt0NlcwcWROS3M0WnV5Q1BYTUhCeTZJdlFCTjlRSE1yWFhWUUJDUWZyUEhacW5nNFNFcw?oc=5</t>
  </si>
  <si>
    <t>The sentiment is 'bullish' because the rising oil prices mentioned in the headline often have a positive impact on energy stocks, which in turn can boost the overall stock market and support the dollar.</t>
  </si>
  <si>
    <t>Iraq's May Oil Exports to U.S. Surge Past 5 Million Barrels - Crude Oil Prices Today | OilPrice.com</t>
  </si>
  <si>
    <t>https://news.google.com/rss/articles/CBMisgFBVV95cUxQcFhMZTVXSi1aaWk5MkZwTXBKYlFlNVk3SU1SUTduOEJhNW56MmlKTnphSTN2VmVUZ25kUy05eC12NjFJRk1Cczd3Rm1PVXZScUNvdDlKQUktbjNDRlU4X0ZWNVZrWnRVV255RDJjNFdNSGdNLWViekNNZU9TeUhJNHdqOWZLYWhwSWhmTElHWWJ0MkR5RHM3Rlk5NWRtMEJyTnc1N29icVg1ckVLTFJEMkdB0gG3AUFVX3lxTE1rbDN5VWY5d0lSaWJXYjBNRzZxbzJPWUV0c0hXUzF4RENsbVNtOURiYk9mSmdKam5scDVON1V5UTg5ZjAzekl5QnNZUUFTZGdIaFg2eEZ6Vlg1N2w5cTNxamctWWV0MUdKNHYzNzBGN3FSSDJDbno4LTFSNXZwa0VoT3o0LWlCTjBQVEFsREVDMU85SkpDNHNtQkd1M3JwaXgwMVY5OVE3eUdYcWJrWWFURXdpMVVRYw?oc=5</t>
  </si>
  <si>
    <t>The sentiment is 'bearish' because an increase in oil exports to the US, a major consumer, suggests an oversupply in the global market, which could put downward pressure on crude oil prices.</t>
  </si>
  <si>
    <t>Allegra Stratton: Eyes on the Oil Price - Bloomberg.com</t>
  </si>
  <si>
    <t>https://news.google.com/rss/articles/CBMiswFBVV95cUxOaGktdk8zbG81UWJPcHlTTU5maUFrUWstZThiVklwNDBORlRYS281RHBEXzB5Q2NUZHhza1dkckZBV25GSTYxeEJsazF0bWZKQWhmZ09HS1dPSFlVVU5IcUh2b3R2aW9ZSmdjQUVxNng3UkE5YVRLUmdxcDd5ZmlFNkY1aVE5cVVYYVV1R191RUtFQ0Z4ZmlKc201MWpSVG94X0pLZFJiUkFjdldtOHNXRWdBRQ?oc=5</t>
  </si>
  <si>
    <t>The sentiment is 'unrelated' because the headline primarily focuses on Allegra Stratton, a person, rather than expressing a clear opinion or emotion about the oil price, which is merely mentioned as a topic of interest.</t>
  </si>
  <si>
    <t>Watch Kathy Kriskey on Diversifiers, Crude Oil, Commodities - Bloomberg.com</t>
  </si>
  <si>
    <t>https://news.google.com/rss/articles/CBMiqgFBVV95cUxQNFRFcks3QUtWV0RRQldudnpieWwtUk96TEIwak5rSnN1ck5pMWoxcmtYaTVwNFFDdFVJVnpvU3ZHdFotWENfTWxCZjZYOVNUOFR5YnFQMFl6bmRnbFpLN2Z2cUM2WTVOdFNOVnUyUVEzYlp0amV0OF9leW9OTk5JRVNJakJpT0w1UkhUOXBmeEEwcWVKdFd5TXVBdWdEb0FwY3pSeWtFNnNxUQ?oc=5</t>
  </si>
  <si>
    <t>The sentiment is 'unrelated' because the headline appears to be a neutral, factual title for a Bloomberg article or interview featuring Kathy Kriskey discussing various topics, including crude oil and commodities, without conveying a positive, negative, or emotional tone.</t>
  </si>
  <si>
    <t>China's Rising Influence in Global Energy Markets - Crude Oil Prices Today | OilPrice.com</t>
  </si>
  <si>
    <t>https://news.google.com/rss/articles/CBMinAFBVV95cUxQb0NKVEJsVEVvempZNFpNR2gxNHVXRjF2N2xUS1VUVVVkZXJBc2lLYnRRbm1IclpJR0FpLWFSRUphS2YyTW1tZnFaRWFoRW52VjZjeWpCcUFhMDRxVTAxY3FJTzNYYWZ1TzhjRWloOGl4RHp3NnVIWXNwcE5Jc2I2UTBQNlBlTWdERy1PYkpPX0NxQjFCX2xKcXh5V0LSAaIBQVVfeXFMUGFXclNZZ1EyYlByQk5wM0VNWmNkemF3bzdMaENsR1FUZjhGMmtPREwtbjFJdnkydGVIazFQRnViQlJNUmlRdzVZNGc2NmhtaDNxQzhOb1hKcTFvbExvbjdCX2JqekVqODE5N1FzemRTOTBNT3VCOUszazBIRXh4NnhYeHVFTFV5ZnB0SWdnOS1qU0gxalZlbE90NEF3bUlybF93?oc=5</t>
  </si>
  <si>
    <t>The sentiment is 'bullish' because China's rising influence in global energy markets implies increased demand for crude oil, which is likely to put upward pressure on oil prices, making the current prices more attractive to investors and market participants.</t>
  </si>
  <si>
    <t>Even Big Oil Thinks Big Oil Is Too Risky These Days - Bloomberg.com</t>
  </si>
  <si>
    <t>https://news.google.com/rss/articles/CBMisgFBVV95cUxQYjFUV0FrRW9STlVTWlQwQlVmQ212dUdNaTlpaVFxSzBIbGRXZTlTSUJPMjBZelR3MWpqSF9XWU95Rlk0b18wajVmTEs5UWtMc0dMNzdGMW1SVk5qQ0MzTHRMSEl2LVZZWUV1SzVocm5vZGNNU19aZll2LVhXRndXSHZwTUxaVTdjUnluSmpiNGlVSDhzamVURmM0ZUFnNTl2WGNkM3g4Z1ZJRUN5SHVPMFBB?oc=5</t>
  </si>
  <si>
    <t>The sentiment is 'bearish' because the headline suggests that even the oil industry insiders, who are typically more optimistic about the industry's prospects, are now acknowledging that the risks associated with investing in oil are too great, implying a lack of confidence in the sector's future performance.</t>
  </si>
  <si>
    <t>Ex-Shell US Oil Trading Boss Claims Heâ€™s Owed $29 Million Bonus - Bloomberg.com</t>
  </si>
  <si>
    <t>https://news.google.com/rss/articles/CBMiswFBVV95cUxNVzZ0cktLWTExTzNCVkgyWm5JVU5sc1BCbnhiRUJ2SXZoNk50OVotYWM2d3ZnRTdOQTVhUEZ0dnN5dWJLQm9xb1FRMGRHWkJXVC1jSkxualk1amc5LWNEbElSWUdmdUxZQjNwWS0zbGVFcVVDOWNQT1JMUDU3REh1bU5OemRCT3g4a1Flci1uN1pGRE95eGxmSlNaQlEzMlloMlI2ejR5cVo5akpsR1FhazVoUQ?oc=5</t>
  </si>
  <si>
    <t>The sentiment is 'unrelated' because the headline appears to be focused on a specific individual's employment dispute and bonus claim, rather than conveying any information about the oil market itself, making it unrelated to oil market analysis.</t>
  </si>
  <si>
    <t>Exclusive | A Battered Iran Signals It Wants to De-Escalate Hostilities With Israel and Negotiate - WSJ</t>
  </si>
  <si>
    <t>https://news.google.com/rss/articles/CBMizAFBVV95cUxORG1nV3ZQOHFvMTVtQTh2dGRKLUlicGNRVWF0aU1HTGREUHNFZEFuWlBKbFY0WEZ0VkFIUzkzVmkwOWM5d1hubUItYkhJZ2s4djdxdnhtWmNiYm1OQm9XMDkzc2tzb2FUdVRnMGZkTlM5NGt1Z1Vmcnd4SUxIUTMzbUljSWtlVy15d0VPODFjcVdTcUVaYkFhWWNOMWpMTEJwam96aEZPSmFsUHd6cVlrU09KMmh6dVBSNmVjSjI2dEFIcTJTeGFUaXhKU3U?oc=5</t>
  </si>
  <si>
    <t>The sentiment is 'bullish' because a de-escalation of hostilities between Iran and Israel could lead to a reduction in geopolitical tensions in the Middle East, which could potentially decrease oil prices and benefit the global economy.</t>
  </si>
  <si>
    <t>What Happens if Israel Targets Iran's Energy Lifelines - Crude Oil Prices Today | OilPrice.com</t>
  </si>
  <si>
    <t>https://news.google.com/rss/articles/CBMirgFBVV95cUxNdERuTk5YSVNlOW8wWWF5dnVMcURyUGkta25ITkhCaTZ1U01CbDdNNDg2clNhbS1ybUN6QzJNdVZUeVpvTkNwX2E4cC1CUGtRZnhQT19vME5VcnlncGtYVThjTzF6TUJKWjRjckgtdGk3ZS15SlZmV1BPMGxhOEhydW12LXBjWlRZZER2NnR4bGN1cW9PT1E0LXFaTDdDTXA0VHZFbDRva0RFdV9haXfSAbMBQVVfeXFMTjhiX3JSZlFwaUJIclNmdzBsRnVkeGNKT1FrUzNaQXFPV3JNQ2Q3QWhjSUZKUHZvN2ZrOE5LNGtBQWZ3ZU5kNVZHQ3pNMHJmYXhFZVEtanhwYTFVbkdUdjNfU1RNOE5QVnN3SVpPM2ZhcEI1WWFSVjZmUkRoczd6amtmOEkzZFJuNGpSMDRBc0VZTllOMUJuS3pVZ1pydGZIckhadl94QzJaV0F1UHlSZVoySWs?oc=5</t>
  </si>
  <si>
    <t>The sentiment is 'bullish' because the headline suggests a potential disruption to Iran's oil exports, which could lead to a reduction in global oil supply and subsequently drive up crude oil prices.</t>
  </si>
  <si>
    <t>Oil Extends Rally as Israel-Iran Conflict Stokes Supply Concerns - Bloomberg.com</t>
  </si>
  <si>
    <t>https://news.google.com/rss/articles/CBMinwFBVV95cUxQb3JlVW9MVS1rYmZGSFB4WTdPRHBDY1d5TUF5N3p4eHJzM1pEZ0NxV0VBQm9aZllSRDB5OE1lbV9NcjVDTUtFakFRc241NWI4NFJMdnBrQzdydEtyOGIwQTc3ZTJRdlRBNXBHR2hDVjBNZGF1Vk93a0l5cG9OT1V3eERPN0pTS3lqSjdtSkpKLThtX1VqbzZuWVBtdnpQN1U?oc=5</t>
  </si>
  <si>
    <t>The sentiment is 'bullish' because the escalation of the Israel-Iran conflict raises concerns about potential disruptions to oil supplies, which would likely lead to higher prices, thus supporting a bullish outlook on the market.</t>
  </si>
  <si>
    <t>ADNOC leads $18.7 billion proposal to buy Australia's Santos in LNG push - Reuters</t>
  </si>
  <si>
    <t>https://news.google.com/rss/articles/CBMiwgFBVV95cUxObVdDMDJGVW9wNWR1YXFXdG93Q0NUUDEtc1BIWXlxclZfRURXMXV6aVczQ1ZlRnpZRTZvTU1uY1VHV0pwM1lJUW04dDd0aTZkVmdmOHlFdkFwNHgwTDV0S21OY3RqS2xPQXgzcGRjVHhkYWdkV1gzeEVSdDU5OXZLVEZRYk5fb0FwRmJiRWdQcVdxaURnTnVfRFB4NHFISFFrUVl3dUpMMGJhSW1sVGY4bXp5NW8yVXVHN2gydzZWV1Fjdw?oc=5</t>
  </si>
  <si>
    <t>The sentiment is 'bullish' because the proposed acquisition of Santos by ADNOC, a major oil and gas producer, signals a significant expansion into the liquefied natural gas (LNG) market, which could lead to increased production, revenue, and market share for both companies.</t>
  </si>
  <si>
    <t>Rystad Oil Prices To Remain Below $80 Despite Escalating Middle East Tensions - Crude Oil Prices Today | OilPrice.com</t>
  </si>
  <si>
    <t>https://news.google.com/rss/articles/CBMivAFBVV95cUxQdktBVGQ3UVYwSmcyNGV2Tnp1cmg1VzdtSkFsb09BVFFZRkd4RTFmTEhkM0RnQ2FORmJxXy1xZG5lZXVraXhvZkFZM3I2TlVGXzJaX3NQWlZTY2psWTY1aGdNa3FUWTMxZ1YwZEFmZVN3TUFvdlk3Z041S2xRWERwdXU4Q1l4WXdNUl9wdFNsQjcyT2MxVVRlWGdMLXlRWTdWY3E1TV9QSjFsZi1QWU1XRjhJZ0FyYTRKNmJYaNIBwgFBVV95cUxQMEw0alV5U0pvaVYzRlpwbFJKRFRiYXVSZnU4LXI1cTE5U25TZllOZE9YZllfdzZORXhwYWRlRVcyS3R6RE11ak5HVV9uNTFGMlBaUXBGX0lUYkZPdk1zeHFWNUhTbjRzUmNOeTZNZXRacVhNcjl0N2h5ZllWc1N5aFFRUlBvOU1xTS02YUFuakx5eXo3VjRHRkduWE5GZ0NRTkdQVi1CUXdjbWRLa0F1cmlQZDVlV3lYdzB2VWV1X1VHQQ?oc=5</t>
  </si>
  <si>
    <t>The sentiment is 'bearish' because the headline suggests that oil prices will remain below $80 despite escalating Middle East tensions, implying that the tensions will not have a significant impact on prices, which is a negative outlook for oil prices.</t>
  </si>
  <si>
    <t>Oil Climbs as Israel-Iran Conflict Amps Up Risks: Markets Wrap - Bloomberg.com</t>
  </si>
  <si>
    <t>https://news.google.com/rss/articles/CBMitAFBVV95cUxNUmpSWDFhdGxyOU12eXo4a0VobUFHSXhZa0FINlBCM2JUQ0xzX051TkY3MUZMWFVWek0tcEV6Y25URE80emlUeDVaQkdjOHluQ21UT3dlYXZoQXNzV3ZTZ1IxbUxIWklCakV4ZU5wNlJuY3l4WXhKSF96cEJSd0ctLVdfSWJBdU1hMl93R3Q5Sk9mYVluejRxS2pOUEJUZ0h0WTBGR2J6Z2NhejBSNmUtekF3MFY?oc=5</t>
  </si>
  <si>
    <t>The sentiment is 'bullish' because the headline suggests that the escalating conflict between Israel and Iran is increasing the risk premium in the oil market, which typically leads to higher prices as investors factor in the potential for supply disruptions.</t>
  </si>
  <si>
    <t>U.S. Construction Industry Squeezed by New Tariffs - Crude Oil Prices Today | OilPrice.com</t>
  </si>
  <si>
    <t>https://news.google.com/rss/articles/CBMimAFBVV95cUxNS3NaWGlqZ0g3WmtWTy1aZkFSbEthYk5kWE40eHYwbVJJaFU2RFJPaXhPTmU0TkhRY0didE0tamFKN0F3VTZYUkFKUWM2TU0tVXUwWGNzR0JRazJIemNWb25Lc0FBQzRHc0pRNWlucy1Obm9qSGcwUUJyQ1phbUg0U2EydDdyWGRzUHM1a1o0UjZMQXQ5R2tiZtIBngFBVV95cUxQYi1tUm9yekFHUUIwME5UV3hoM1hGdGlqdHAwS2l6LVppa1JzZFEzeW52OTQtMVpBX0tNbFZ4QTEtTmJHMG44QkhObFJCMFBFZzJ1TE4xbnZzZkVjMktvQ3hXS0lWSlpwMGRvU1YxdFJLLTFibjlicGdSaEx0cVR0VXNCbHE3T1A3YUt5c3loOW9pTXFKSWJIOHR3RjlGZw?oc=5</t>
  </si>
  <si>
    <t>The sentiment is 'bearish' because the imposition of new tariffs is likely to increase construction costs, leading to reduced demand and higher prices for building materials, which could negatively impact the overall industry's growth and profitability.</t>
  </si>
  <si>
    <t>Oil Retreats 4% as Iran-Israel Strikes Avoid Major Supply Disruption - Crude Oil Prices Today | OilPrice.com</t>
  </si>
  <si>
    <t>https://news.google.com/rss/articles/CBMiwAFBVV95cUxQMUUwV05oeWg3RGtoWjNiU0tueVJmY1RwbHJhWXFBbUptVW9kUUpKZ2NjdThRaDR4bXNUTHgyU25RS05jNVBkNkNTZDZ2QVhJNzBUUFFFWGlwLTZ0Ynp4NzVHZk5sdEh5eGdTNlIxUHVBOGg3Q0p1SFM4YVE5ckFEVVoza1ZEUkVBMnpuTXItMFdvYkh6Ny05dklaUFZTWDhyeFpWenZXNHpBbW0tb2JGSzlTaTZGOWdwY2J3VmhBVzjSAcYBQVVfeXFMTnR3TUpuQlQ2Y1JieGZHY1VFazY5eVNrdC1MbHNVcURqVFFxYjVDOHBUR3pNRmZjV2sxdG1SV24wamt3bmozUlctbU5wYmh3Q2QwNG1kQjRxcVlmcTJ5UXBEM1RTZWRRSHBvSjdJYXcxS0tHVlA2TllMSzhOWmZGeUJXYzh3eExXd3FVY0E2clhCUkpXaUxVekNTcW91M29yNUZ0aEJITHNyU1hzU3QwRmE4U2hFb0ZyMm5nXzVqS3FHUHJxMTV3?oc=5</t>
  </si>
  <si>
    <t>The sentiment is 'bearish' because the headline suggests that the oil market is experiencing a 4% retreat in prices, implying a downward movement in the market, which is typically associated with bearish sentiments.</t>
  </si>
  <si>
    <t>OPEC Oil Output Increase Falls Short of Target - Crude Oil Prices Today | OilPrice.com</t>
  </si>
  <si>
    <t>https://news.google.com/rss/articles/CBMipAFBVV95cUxNbldqN1pTeXE2M25rb3VWMHJrOHhXVmZVZmxLaTFuRnlRNk1iWHAzVldWeEJoODJNQ2g0WVh4TERZOTc4cVNSeXI3ajVVMGduaHUzVjNlVmRWalQ3MVVrdE53blBTRk5uZTFmQUt4S2NBWVJBZXM2QkIwejNuVFBhNE1KRnpvYmFsTnJSTzNCdHM1eS1kcVNJVnFKTGttM1hnMU5ob9IBqgFBVV95cUxQSGRmV1VrYmx4dDlYTkpxY1VXWmN5eDA4Yk1abHZSUHMyWVEyd19yc0ZySUh6a0pSX2pVYXJMTkk5S21QNGtwVmhWTFVaNjB2YW92N0V0clF3dmNwTWFMRXA2WDFGdkZlMm1lbUk5MEwwSGpBYkdyUjAycWl6cnhwVmJ1aGdBeTVHRFd1eS1VcWpTVGxMZW9lRTdDbjUyakpGVkE2SVV4SS14UQ?oc=5</t>
  </si>
  <si>
    <t>The sentiment is 'bullish' because the headline implies that OPEC's output increase is not enough to meet demand, which could lead to a supply shortage and subsequently support higher crude oil prices.</t>
  </si>
  <si>
    <t>Baker Hughes Reports Normal Operations Despite Middle East Tensions - Crude Oil Prices Today | OilPrice.com</t>
  </si>
  <si>
    <t>https://news.google.com/rss/articles/CBMiwAFBVV95cUxOZ05GWTFsVVluSVZLX1RSMGZXM1RyUG1EcHBvZ1BCNzdrQlZ1RVk5R3R0RXVvSFhNN2dBXzlTcUdGQl9XcXV1eUhsWHdlQkVPRzVaYU9mX1hhMEowQTAzYlFnSU5NSVM0UHZXejNfY0pjR200Q0JuRHhzNVdscEEwQUs4SkNHX1dfV3pXTWJvQllPcE5rS1NnNFFabmplV2ZVeTFIUDhxUWlUTEV6ZTZjM0puRTZSNGtEUm9TWEZLTHDSAcYBQVVfeXFMTXNjcEEtbndSTXQwMHoxdWVuWmk0MVNRX0o2MG1obzB0YVpTMWltSm43cWt0WFNyUFQ2UXNlYXZrUmpMQTV2OGNiVU4tdVlkbFpzYkhxcU5vT1pqLW95VlhDTHlkY1ZRY3pSVGlVT1pBbmlRMWV4TGNtcW9kQWlnUmQ0a2Q3MHZRb3o1a1hJRWpjM0VKSVJsdVJmZTZiSi1IN0hWdEZzdFZ2bXNFdFZrdWZ2cTFyTUVpdFNTRnJxekNfTlpHZEhR?oc=5</t>
  </si>
  <si>
    <t>The sentiment is 'unrelated' because the headline reports on a company's operational status and its independence from geopolitical tensions, implying a neutral tone that doesn't convey a positive or negative sentiment.</t>
  </si>
  <si>
    <t>Conflict in Middle East shadows oil industry gathering in Malaysia - Reuters</t>
  </si>
  <si>
    <t>https://news.google.com/rss/articles/CBMisgFBVV95cUxQRXJHMFN0S1hCR3g2VWtkZkhLS0VuTUpyMEtRT3VYSDEwNy0tbkp0OFhKQk4zWkxUTFMwOThyRmJHN1paNzAzdWN1VHZWc0lyOUNqNEc0SmZILWVZT0pvcHk0LU16U0p6ZFFXNnRLWTFual9QOE9NbTJnZDAyckRhTDF2WTJqRFVIR3h0bXpEMk1SSEpVUnhDbk5WNmdOT05GVU1oTnVwRjFOczFaV250TjJn?oc=5</t>
  </si>
  <si>
    <t>The sentiment is not 'bullish' because the headline suggests that conflict in the Middle East is casting a shadow over the oil industry gathering, implying uncertainty and potential supply disruptions, which would typically have a bearish impact on the oil market.</t>
  </si>
  <si>
    <t>Oil Market Braces for Disruptions As Israel-Iran Conflict Escalates - Crude Oil Prices Today | OilPrice.com</t>
  </si>
  <si>
    <t>https://news.google.com/rss/articles/CBMirwFBVV95cUxPYW5GUlJOMjY2UF95dlRIUXdaNlFOOUpqajFhNmZfb2V1WWVpS21FQjBSUmx3SlNIV1lEWG1yN1hrY1Utd3JNVFVXMExFbmdJQnYzMmNhdUxkOFdRUXJWVzc2b29oTHQ0X3F5UW5GZW44b1ZNQk42Mzh4TkRnWmZKTEdBUlp1WWJocFd5U3V4WUtiam5KMUprX3ZORmpwT215bDgyS1hWdjNBdnpEZEV30gG0AUFVX3lxTFBuWC1iQTlydWswUjhvZzZoeEU2aHYzQkFxTnc3TFJIb3g0VzR6UENsYkg4MWFvTUpjcTNIY09mTE16dTJWRFc3c2ZuNUhHTWNMMVI4ZkUyVVZhZjZFZ3h5T29YU3FzWkJVYlJiNWo3SmpBUFRiZWpsRUNBNndsWW1mOFROaDR3MlBxckw2cWcwODFuc3hmWng5SFF3NjZTLVlkejUxWVIzTkVBaXcyUHFhSFdZVg?oc=5</t>
  </si>
  <si>
    <t>The sentiment is 'bullish' because the escalating conflict between Israel and Iran increases the risk of supply disruptions in the Middle East, which typically leads to higher crude oil prices.</t>
  </si>
  <si>
    <t>OPEC Says Output Hike Tempered by Compensation From Quota Cheats - Bloomberg.com</t>
  </si>
  <si>
    <t>https://news.google.com/rss/articles/CBMitgFBVV95cUxNeTZrOEdVb3hLTE9HcmZMVUxqRWFKbzBzaE5LSUx0WkhYaklxcVIxbUJZclI1VjVyVTRRVlBobjd4T19PRDFUbV9ReElUWmxXbnJRS2hOZm85YUdKZ3lRSjdzWHdEc3NIZU9MR0dGOFZ1YWM4Y2tELVNzQ21qdXBYay1GVVpjS1E3MDBLNU5YaWdiVGVEUXhCem12SlUwM2NEXzhmYmRBTFVuV2hsOGVfc2FQTm5fQQ?oc=5</t>
  </si>
  <si>
    <t>The sentiment is 'bearish' because the headline suggests that OPEC's planned output hike may be offset by overproduction from countries that have been cheating on their quotas, implying that the oil market may not see the expected increase in supply, which could lead to higher prices and a bearish market sentiment.</t>
  </si>
  <si>
    <t>Super Tanker Charter Rates Soar on Persian Gulf Route - Crude Oil Prices Today | OilPrice.com</t>
  </si>
  <si>
    <t>https://news.google.com/rss/articles/CBMinAFBVV95cUxQNGlMOE5hNldBQTgxejdzZXpvVVRMMVJyTWlVc29PbWNza0lLN3RMZzAydWxVODJDOWlJN0FNYjBRUFhkbTdFamt0eGIzUW1RT0pQUkI0UWFLY2lySm1sQkRlZzBmTVdmbnVnaVZFQXZGZmwwaWdUaFZSRWdISU1kaTc0NWw4ZWJKZHR6NHdQNEctMkxBa25JaHl4dWzSAaIBQVVfeXFMUEF2cUQ0RzlSaHljblV3Ry1ab2E1SnRDQUVBOEJNdFdncjhJSnJlb0UzS0NiMjBLX1VFZlBIdnRlMVFnbFF1Y2d4aWpyTG1XOWxSVmpzcXlHTE9WcE9nd0VWLUo2QkZ0b2NqRERlM0RlOWNGVFpYbkJJQVlydnN2STlENEpEeURHaUJPaDZVYldzRXRMYndvQzEtcW9YWUh2MjhR?oc=5</t>
  </si>
  <si>
    <t>The sentiment is 'bullish' because the surge in Super Tanker charter rates on the Persian Gulf route suggests increased demand for crude oil transportation, implying a tightening of the global oil supply market and ultimately supporting higher crude oil prices.</t>
  </si>
  <si>
    <t>EU Aims to Cut All Russian Gas Imports by 2027 - Crude Oil Prices Today | OilPrice.com</t>
  </si>
  <si>
    <t>https://news.google.com/rss/articles/CBMipAFBVV95cUxNZTN5dnlKdnV3NmhTcWZoV01mLVNUTm5UWnZmLVp5UThDdnhnTTg2RFpNX21JbHhiLUhDbVVYYlI4RlJCdV9iVVZ5X0FiNGlkQjlMWWRNQ1AwMVpfSF9WZ0dzLUduX19ZbmFZUkF3bHRTY3lENGJ0akNKVTh3am4yYVdEdUJDZHRJbFl2c3BRUEI5Q2tDMmxHRWNnMWNOWl9XOEtaZtIBqgFBVV95cUxPc25hbldiR2U1WXVZeExEMl8ydnB3Ny1mUW5DTVM0bEFjcFAtUGRvNGZtc0VKVWh1T1J1SnhMeW5hM3M4LVZhNlFqSDJNV1E2bWFSVFZWZDZDdWRpVnYyVnJoTHdRWVBGOVg3cmFQWnJZeTBFRzZZR2JKYUpPMkhMb0xSMU9yVks3SF9tbkNybmxDNlNYT2ZvV1EwanotWlpTdlBkdDhZUlFLQQ?oc=5</t>
  </si>
  <si>
    <t>The sentiment is 'bullish' because the EU's goal to cut all Russian gas imports by 2027 implies a potential increase in demand for alternative energy sources, such as crude oil, which could drive up oil prices and benefit oil producers.</t>
  </si>
  <si>
    <t>OPEC Oil Output Hike Lower Than Planned as Producers Compensate - Crude Oil Prices Today | OilPrice.com</t>
  </si>
  <si>
    <t>https://news.google.com/rss/articles/CBMiuwFBVV95cUxOWEVDWnE1S2xIVWlhSnMzN2ZCeFBQUzEyZ0tXbTJNcXNXNDJ2Unl0cF8yTkwxWmtnRkZwaFdTOXExNUpla3BVSlJhekhaTlNEcl9ZRlpxSWhfN1F2aFRxRk9LLXdmdjhrMGF1T3VhbThiUnkwcVhUWUYyT2dxVlhCdUdtRGJhdWhHaEtVUUQ5eEFmODBwNmE0b0ljTDlWZS11LTVPeUZ1WXFhSlJhb3U2aWtQSXBLSjA1amsw0gHAAUFVX3lxTFA4dzQ0TDJHZnU4VHJzdUMwVlNBNy04YlZ3Vl9KaXlWVGJENjVKUDk4UVM4bmhWR0owcEpzQUU5b3UydzZBaDJuZkVPZ0YxZVZ6U2NvT2d1NXhzOGs2czVpYnM4VlhRdEdPeDhKNUlQOElNT2dLOGkyZC16QTMxN0Z0a1pCQVpnUVIwR2xocDdWY1J6NHJFckhNMkYwTEFkdnB3aUVwUUhaTUF2bTRiM0VxTzBKNXY5TEhTdE1kSC1oeQ?oc=5</t>
  </si>
  <si>
    <t>The sentiment is 'bearish' because the headline suggests that OPEC's oil output hike is lower than planned, implying that the expected increase in supply is not materializing, which could lead to tighter market conditions and downward pressure on oil prices.</t>
  </si>
  <si>
    <t>EU Faces Struggle to Cut Russia Oil Price Cap on Mideast Risk - Bloomberg.com</t>
  </si>
  <si>
    <t>https://news.google.com/rss/articles/CBMisgFBVV95cUxQQ3NidDNONmVqcGRoV0lBRjBaRXNsOVNOVGFUNmNPc0dobWN4WU91dHp0QUp2OGJ3WllObHVkWWQ2WF82YnRsMFhTRktjbzFmZXQ0eFJURVFzNjZFcGJXUjNzS0VGbGNENkYtLWVDcWI4UlFha0M1SkNBdFpVY0U5eGYxb1d2M0U5cGFXd01nNGdRQXpkUnBCNGlSMnhRaVVHQXJpV2I3RENVOXM1QzMtWnJ3?oc=5</t>
  </si>
  <si>
    <t>The sentiment is not 'bullish' because a price cap on Russian oil would likely lead to reduced supply and potentially higher prices, which would be bearish for consumers and potentially bullish for oil producers, but the headline specifically highlights the struggles of the EU to implement this cap, implying that the current market dynamics may not change, which is more neutral than bullish.</t>
  </si>
  <si>
    <t>OPEC expects solid second-half of 2025 for world economy, trims 2026 supply - Reuters</t>
  </si>
  <si>
    <t>https://news.google.com/rss/articles/CBMitwFBVV95cUxNNlFLbVFhWERDMXFHS0NLOEtkam9SZ2w3WDVBX3RvR1Q5Smw2cTFCN2JvRTZhbjNlanNJeURoVTRnX19yYndURGZ1U1VoU09JQ3BhOWFXekIwZU5zUjN3LVR5VzlVeTJoX0hDMjRLNFNBYldPWjRaLXNBRmwyQmRTbVJnNEZMdlBwcFlhbkpETk5jQUdwUkhpM29ha2l3Q0Y4YXY0NlRuYVpwc0daTzNISlhoYXJCMWs?oc=5</t>
  </si>
  <si>
    <t>The sentiment is 'bullish' because the headline suggests that OPEC anticipates a strong economic performance in the second half of 2025, which is likely to boost oil demand and support higher prices, despite trimming supply in 2026.</t>
  </si>
  <si>
    <t>Rapidan's McNally Sees $3-5 Upside Risk to Oil - Bloomberg.com</t>
  </si>
  <si>
    <t>https://news.google.com/rss/articles/CBMiogFBVV95cUxQQlVaa084UUJib3dwUlJPaF94MWhycVAwQzN6ZU9RRTRGb2p4cU5URUc3Sl94Y1FRM2pIdDFLYVIwQU5wNGl4YnN2blA1UGFOb0lNZ1czakk0NWEwNGlHZDlKUEVrTzlnZHFUNm9zcVhwcXZtcVk4MXl5RXhrUkRxeTVxQ1NXeEJUUVdCeS1UMHFZaUp0ZWdoUElHb1p0OWVqSVE?oc=5</t>
  </si>
  <si>
    <t>The sentiment is 'bullish' because the headline implies that the analyst, McNally, expects oil prices to increase by $3-5, which suggests a positive outlook on the oil market.</t>
  </si>
  <si>
    <t>Impact on Oil Prices will be a Fade: Ronner - Bloomberg.com</t>
  </si>
  <si>
    <t>https://news.google.com/rss/articles/CBMingFBVV95cUxON2tVdEUxbkgwUzQxVlZCT0dVcnhwY3lYLXl4UGVVZXhMV0xNSGdKdzhyODc4aWxjNnk1bDJmT2lVSVlSb1FHODZiTmRCTVl3c0s0NjlRcjFrN2RHVzNka3g0NDV6RGlRSWlILTBBWUpCNWRBVHhldzA0VjlZZ2FzVF85Zm1QalpkWVcxbUt2WWJPazNnUkZCZE91QXZldw?oc=5</t>
  </si>
  <si>
    <t>The sentiment is 'bearish' because the headline suggests that the impact on oil prices will be temporary and fleeting, implying that prices may decline or remain stagnant, rather than experiencing a significant increase.</t>
  </si>
  <si>
    <t>Maintenance Drags China's Refinery Throughput to 9-Month Low - Crude Oil Prices Today | OilPrice.com</t>
  </si>
  <si>
    <t>https://news.google.com/rss/articles/CBMitgFBVV95cUxNNEJpRzJkQVdscXl5VkJUcFNGVjQ4bFJGQlRvblZwN3VEMm1nSWFuV05QcGdWNjVTbGlSYnFqUmJRU2Fabk4tZzh0UDdCSDNEOUlOb2pFVk1aODltbEVacGdDZTNhYXFnYWFKNEN6Sm41T2VNZUNHVkZIWE9qS1R1UXFVZzhVYXNiX0RtS1gyc1REeWd2VFloTjE2ZXpZTk85RGZ6VFhuR3ZkaGZkUjNhRkVxUGp2UdIBuwFBVV95cUxNZDBjbFVQeXVtcERZWThDcVRiVDR6QXVtNWlubUZHLXBxNjJEeTlaanYyRktKUE9tTk5fUkRuakxlOWlROVFKZWFFbi14MDZfUHp2amhXMjRRc1dzbDZjVVo3bUtsY1dtTUljZWlNa0tzbmZEcFhXMmlmdlJKV2JxOXd6Q0liQklUWUZzRDlxSXRsNl8zOFVudTBMWl9rOHR0TWE5eE1aSmRzSVdzNmlwU3pSVGp2N2k2ZDJz?oc=5</t>
  </si>
  <si>
    <t>The sentiment is 'bearish' because a drop in refinery throughput in China, the world's largest crude oil importer, implies reduced demand for crude oil, which could lead to a buildup in global inventories and downward pressure on oil prices.</t>
  </si>
  <si>
    <t>Middle East conflict slows tanker bookings, lifts rates - Reuters</t>
  </si>
  <si>
    <t>https://news.google.com/rss/articles/CBMiqgFBVV95cUxNWl9LSnFxa19NN3FWTFQ2bkFONUtOZzB2Z1FfWnBmeU90Z1VTQ1g1RDdsMUt0NC1kelBDamUyeEV4UFhEMGlBZlRZVmxUc1dkdGh3VENldnBVTlJoZG93aFoyc2xnbjdZVU9nbFpxVk5tOGJva0MwVE1jWkpZSUxyWXYzWFIyLVd1OTVQbndha0ZmXy1YUjV2VmdDNWkxamswVW9zcE5aMTVOUQ?oc=5</t>
  </si>
  <si>
    <t>The sentiment is 'bullish' because the headline suggests that the conflict is leading to increased demand for tankers, which in turn drives up tanker rates, implying a positive impact on the shipping industry and potentially benefiting tanker owners and operators.</t>
  </si>
  <si>
    <t>South Korea to introduce second extra budget for this year - Reuters</t>
  </si>
  <si>
    <t>https://news.google.com/rss/articles/CBMiqgFBVV95cUxOUDVJYWVXVDFDOUNZMnl5d0RSenRMX3E0ajQwaThKOXJrSl92TlFIdzZfMzlXRUU0YnQ0czVzTUQ5Y19IelZJS0hxUXJRV3VncGFuamJGNERROTZXXzBORWVLNTRfV0xnVU1fTEVlTkt3OXVBLWRDOEdkd2hZNVI3aFV0NjBpRFZSTmdSN3FpYVhuRzQ1NEpEZXJqc1NLYWVOcWZtVll5cXpoZw?oc=5</t>
  </si>
  <si>
    <t>The sentiment is 'bullish' because the introduction of a second extra budget implies increased government spending, which can boost economic growth, consumption, and subsequently, demand for oil, supporting oil prices.</t>
  </si>
  <si>
    <t>Russian oil freight rates to India ease further, proposed EU curbs may reverse trend - Reuters</t>
  </si>
  <si>
    <t>https://news.google.com/rss/articles/CBMizAFBVV95cUxNMVp6Z2MtM3Vsb1ViM3Izb3dzZ3Q3LTloeUlsMkVRMVV3bXNieWM0cHVXcGsyMlNxcjA3aXFUVFBwbnNOWmJnbFVNdTd4b1UxMFZYZVh1Q0NuU05McDVWYmNQV09NX2ZoNmU2ZC1OV3Jjd3FRdDFzNHdFVVgwOHlnZGhMOEVCX29XLWg2NkR0MVZBaE5WYWpFQ0hPdnFvMi1aSzhLMWdKa2QzaU9LdU9ZMDNid0l3OHlndWRuVzhoU21LVUpfWXVqTi1ZcUQ?oc=5</t>
  </si>
  <si>
    <t>The sentiment is 'bearish' because the easing of oil freight rates to India implies a surplus of available tankers, which could be a sign of weaker demand for Russian oil, potentially leading to lower prices.</t>
  </si>
  <si>
    <t>Oil â€˜In the Crosshairsâ€™ as Israel-Iran Conflict Drags On, RBC Warns - Bloomberg.com</t>
  </si>
  <si>
    <t>https://news.google.com/rss/articles/CBMirwFBVV95cUxObFNsYUpTaTRILVZPU294cG5mYVN2Y1JuSjFsMS05TVhnU1V0ZGdlMUkyekdFbTE0RmtiMVlHYmVHSzRDMHJqcTFxUmdpM3k2OXV1MGhfdEVTUzdnQUJjMlFzanNhUE1PaDRVTmtxYWRmNjBDSUNjT18yS3RFY1R5VmgtY3o3eFZfY3lHYTRNTjlpTXhwZ3JOdkRQMzdSdWQ1SjZOYUJEa0R3WnhDNHo4?oc=5</t>
  </si>
  <si>
    <t>The sentiment is not 'bullish' because the headline suggests that the ongoing conflict between Israel and Iran is putting upward pressure on oil prices, which would be a bearish outlook for oil consumers, but bullish for oil producers and investors.</t>
  </si>
  <si>
    <t>FTSE 100 closes near record high, and oil price falls, on reports Iran seeks talks with Israel â€“ as it happened - The Guardian</t>
  </si>
  <si>
    <t>https://news.google.com/rss/articles/CBMi6AFBVV95cUxOTVFsVFV0Tkd0eWxVTUVzczRqWHBna250Tm90Z1hKem1EdW5UaTROX1pKRlozRGZKZmN1NG0yOXd4UC13eFJsR2ZuU1FTVlFyRkNWVVRsY0E4RWc3bmFKdHI5dTN2amk4dGREZDU4SHcwZ3ZDd1RtVDFSTUVNR3hqV0lXSFZOZ2JSY1VQNDZEMmFleURnNGRzMzFYM0hsd1RnT2Z6RDlHaDVHWnFyOVNpcmxCZWRad2VFMklmd1p6Q0VSb2Uwczl5ako2elpaX3BOX3RvbmFYd3l2b0F0M2lGa21XMGpiQi1t?oc=5</t>
  </si>
  <si>
    <t>The sentiment is not 'bearish' because the fall in oil price is a positive development, and the FTSE 100 closing near a record high is a bullish sign, so the overall sentiment of the headline is actually neutral to mildly bullish.</t>
  </si>
  <si>
    <t>Israel's Haifa Oil Refinery Damaged in Missile Strike - Crude Oil Prices Today | OilPrice.com</t>
  </si>
  <si>
    <t>https://news.google.com/rss/articles/CBMimwFBVV95cUxPRS1qT0laeGpxbHpaSFZrNDBrNG1BbXlhYXAzZWtLck9RTlhXU2RGMlZYTmZtSkJIbklDdHd1aEdWX3lRVDd6bFRPM3dZT09iZkFLNXhHLWg5aXhmaE8yY3EwOEo4aGhyLW8xejRZWkFleUNHanRqbDdITkI3TElhS0NETUU4WUthYld5WGo0VHE2alpFVzBILUEwb9IBoAFBVV95cUxNWlp2S1FCUkQ2SVBEUmY3cXNLM2tHbWFuV2xkMDZuUzNVSGRDV19XUFRlQ25Va3lBUndCN000YnRWdFFoN3MzcHhacFQ3WWQ2MFBxY2hFLUlkb2liS0xVRGtYQlozdTAyVVlMYzlxMllRSHpnalRHdktVZzdkYUpXZENSMjNYVHc0RjFtVjFqeHk1b0VRNEJTZmxfbmVYdkli?oc=5</t>
  </si>
  <si>
    <t>The sentiment is 'bullish' because the damage to Israel's Haifa Oil Refinery, a significant oil refining facility, is likely to disrupt oil supplies and drive up crude oil prices, benefiting oil producers and sellers.</t>
  </si>
  <si>
    <t>ADNOC Led Consortium Bids to Take Over Australian Gas Giant - Crude Oil Prices Today | OilPrice.com</t>
  </si>
  <si>
    <t>https://news.google.com/rss/articles/CBMitgFBVV95cUxQXzlBcXpaaVNmUnV1Q3h3blY5T210MjJWWXFrRERvc3dwQVVneXliYVFId3BEaUdGZWthdlNYc0NPcnhYYTc4Zl9vY1NWbmJMMzRnWUxadUpHOWh0TVEzcWs0NkcwY3ZYeVJ3cVh4Zlp0ZVhRMmNyVGNtMTNUN01IVmpYYWxnUEJZVVRCOHRKdzh2WVhLYWViXzA3LVdmblZvWEVsamRUbnc0T3AwRW5iZThwR3pjUdIBuwFBVV95cUxOMk1CZ2N2TWdwc1hJeFhZazVEOFpXLVg0VGk1X0NRbUk3YjhrWmVUanI0MlVaNXBDSXpQaHY0cjhLMFMwUFZFUzFKN3RhUTRZaUZTeGtYYW54LWhNOUlnRkJmUGVSVmR0d1NyV1FvZ1lYeWFuT1dMeGlvMndSWWZOTDFQa3l4T0FOZjAwbEsxN2xVSVhYamhPR3ZpT3pwOHgzV2tMYm5qTm9feEJCY016bW1PODAwUnZOV2hF?oc=5</t>
  </si>
  <si>
    <t>The sentiment is 'unrelated' because the headline appears to be reporting on a specific business deal or transaction involving ADNOC and an Australian gas company, rather than making a value judgment or expressing a sentiment about crude oil prices, which are simply mentioned as a category or topic.</t>
  </si>
  <si>
    <t>Morning Bid: Markets in wait-and-see mode on Mideast - Reuters</t>
  </si>
  <si>
    <t>https://news.google.com/rss/articles/CBMif0FVX3lxTFBNQS1mMVgyRnFRNWVvRHltLVNKYk9Fc0JlaFBodGtTMkMwWTU5dk91SjhnUldGN2libDJ0OC1fWlFoS1hDMWlld1dHVVJqZzEteC1IT1RDcFJhaEk4QjROOHJyTEtuNVV3TnlEWnY1eTlYem15YVN5dlRhLXBJMGs?oc=5</t>
  </si>
  <si>
    <t>The sentiment is 'unrelated' because the headline appears to be discussing general market sentiment and its relation to Middle East events, which may or may not have a direct impact on oil markets, and hence the sentiment is neutral or unrelated to the oil market specifically.</t>
  </si>
  <si>
    <t>Crude moves to dictate direction for Indian debt, rupee; RBI key for currency - Reuters</t>
  </si>
  <si>
    <t>https://news.google.com/rss/articles/CBMisgFBVV95cUxOc3k0OUI0LWtfdC0yYjRUSDAzS19ZVnNMV0ozYjkxWE45eVJBV3RsYXhxUldWbDRxQTd4cHZvLWdDTEx1NFBoUmF0VVdnVGJNVHFtYkM5LVQ3Z0JEWmpQWkQwUjFoUVlGSVZnMjlnSmRuVDl6UWpvQmY1a1R5RjRIal9vdHIwTXY5ZHdtMjJWUk9rdEtrRm5najlGWS1pWms2UjM3THJkT1o1cGZIckVqTmxn?oc=5</t>
  </si>
  <si>
    <t>The sentiment is not 'unrelated' because the headline explicitly mentions "crude" which is a term referring to crude oil, implying that the article is discussing the impact of crude oil prices on the Indian debt and rupee markets, which is directly related to the oil market.</t>
  </si>
  <si>
    <t>TotalEnergies to Spend 30% of Capex on Power Business - Crude Oil Prices Today | OilPrice.com</t>
  </si>
  <si>
    <t>https://news.google.com/rss/articles/CBMirAFBVV95cUxQTHVPN0hUbWkyMUlJcDVPM3A0MGw1VHYtS2p2VDBvZGp6SlZkYy00ZExzaHZRdlBzaERXd0hrMTQwMXRWTThQcmRLWGFtRnJ2emxBTi1UbGx4OENzV2Z5amp1TWNUS3hmRHRDYjAxYTlXNkdLQjVEN2NraXVIcmF6V3MyVi1vSVkwOExyaUxfU0Z1cUt4Tkt6UTNRTmpLLUQzeWFvVk5wTEJ1dmNn0gGyAUFVX3lxTE8zUVd3ZDFrbFZFRkI2Ykg0dTk1VHh3QUN1YVRCUllCRy14YWhBdmlGZmJHdUd5OXF3czk1dm9LRUZ0Y0VHcEZVNFlTck9RSlNUbGxZQ3k0U0Fwd290NEd3U2hncTg5Qk9SNjhsTnJnSUZ1RUJfZ3Fta2xGbE9OZDBmbWJKeFJBeDFSZUhtLWY0cnFJOHZQN0ZGWnIwci03RkdVdDkyZG9ySnpRQ3F5b2FnU1E?oc=5</t>
  </si>
  <si>
    <t>The sentiment is not 'bearish' because the article suggests TotalEnergies is increasing its investment in power business, which may be seen as a positive sign for the company's growth and diversification, rather than a negative impact on the crude oil market.</t>
  </si>
  <si>
    <t>This 1970s Bestseller Just Might Save Burned Out Millennials - Bloomberg.com</t>
  </si>
  <si>
    <t>https://news.google.com/rss/articles/CBMitAFBVV95cUxOWEpGNnY4UlJFWjdrZFVHbldCcnV5eHBvNTZ5YmdNVDhyQWFIazktZjl1MEJjaFJWS1E3dmtuYm5IaHNFVDQ2dlR1QjhJc1o5dmV0S0s5U1FPbjk0ZXl3WlpyUlpITG44c05waGY3SGxOZUgwZ0hMRUZUVGp3dWxHNXZOWW1nRnhWb21lUkhmbXVEYmV5M2ItVVRfZXdiZVZCTXVSM1RKbjctTjBlaVBmU0VnM2s?oc=5</t>
  </si>
  <si>
    <t>The sentiment is 'unrelated' because the article appears to discuss a bestselling book from the 1970s that may offer solutions for burned-out millennials, which has no connection to the oil market, making it an unrelated topic.</t>
  </si>
  <si>
    <t>Israelâ€™s Fight With Iran Spreads to the Energy Sector - WSJ</t>
  </si>
  <si>
    <t>https://news.google.com/rss/articles/CBMiowFBVV95cUxQeGRfZTNvR2pubmhRUjVZay0yOXNjOGNRX1lOTGcwQmdMQXowd3dQcWFZR2pCWmpoOUFRaWlhM3VTOWo2amdBWHk4d1JBMXJMWWJ6emsydHpVWDZieEpNZlhYVHRzOEZhRTRCVE05MnRDbW4yZmpyQmNPZlpoV1E0dW93Vm1DcmRlVm14SWN2U01Xbmt5VS1KVTd3bmk1WXdTaTJZ?oc=5</t>
  </si>
  <si>
    <t>The sentiment is not 'bullish' because the headline suggests an escalation of the conflict between Israel and Iran, which could lead to disruptions in Middle Eastern oil production and transportation, potentially driving up oil prices and creating uncertainty in the energy market.</t>
  </si>
  <si>
    <t>Oil Jumps After Israeli Strikes Target Iranian Energy Assets - Bloomberg.com</t>
  </si>
  <si>
    <t>https://news.google.com/rss/articles/CBMisAFBVV95cUxQUEhwZ0I0MlpOTXhfSDhQeFctdEFjWnQ5Q2NKdzRaTE1QZFZqa09EeDlacVVCb3p2ZDFmczBneHZNcGF5dkp1aHU1X21UY0RaTnNKOEZiSTBSWVRxQXBVX2dqbTY1SEdIbzJfVEZHWFZVVjRpc1pqRURUejgwOVpiRDZtQzAyaERONGVxc1Mwb1ZtOElranBYTnl6clpiZThZRWNrcGF0em5HblZySldZVg?oc=5</t>
  </si>
  <si>
    <t>The sentiment is 'bullish' because the headline suggests a potential disruption to Iranian oil supplies, which could lead to a decrease in global oil production and subsequently drive up oil prices.</t>
  </si>
  <si>
    <t>Oil Traders Brace for Turmoil as Iran Crisis Imperils Supply - Bloomberg.com</t>
  </si>
  <si>
    <t>https://news.google.com/rss/articles/CBMitgFBVV95cUxPdTNtRENzYUxNVG01Rm0yNEJJSEZydnluVWRMTE05WF9DdkJjSU1iLVh6VG5pNlBOSEU0cGQ3b3ZTSkpGWVJOT1JmQ3p1bmJqN252TW5SSHBHTmgyZXVKUjR2dFFSR1JkbXRqMEcxNGtfdmYzbklYX3Brb3pPQW10OGExY2ZVd1dQV3U5Y09wc2ltWmtoOUx1VThHOUZZbW5taGNNWHg2SV9rTnN4eGhlSTNsd1hhZw?oc=5</t>
  </si>
  <si>
    <t>The sentiment is not 'bullish' because the headline suggests that the Iran crisis is imperiling oil supply, which would likely lead to increased prices and volatility, a bearish scenario for consumers and potentially bullish for oil producers, but not necessarily bullish overall.</t>
  </si>
  <si>
    <t>Israel Attacks Tehran as Iran Fires Another Missile Salvo - Bloomberg.com</t>
  </si>
  <si>
    <t>https://news.google.com/rss/articles/CBMirAFBVV95cUxQYWtPVTlQNkwxNWJjUmNGRTRvWTlCQmFfOVNCZlVpeXBhVXM1eHlxUmx3SXVEVkZRTDhMZ0tVOW83ajlEUjhHdWR1dVZVbXlySXZmbFBCZjBkY3lSeEpIMk9uQW9RWlNFWjRRNGNCNE5pVzVXeXl5OVpjaTc0NW1ZeWY3OFRPdEdWUzRDN3RZMmM4WW51eUtlZV8zM0VCTGRRNU1TMGxWVmhyMFVU?oc=5</t>
  </si>
  <si>
    <t>The sentiment is not 'bullish' because geopolitical tensions and military conflicts in the Middle East, particularly between Israel and Iran, typically increase uncertainty and risk in the oil market, leading to price increases, not decreases, as investors seek safe-haven assets.</t>
  </si>
  <si>
    <t>Critical Minerals Fuel Geopolitical Competition - Crude Oil Prices Today | OilPrice.com</t>
  </si>
  <si>
    <t>https://news.google.com/rss/articles/CBMilwFBVV95cUxONFVNbWN2eDA1eWVJX1VTWXJFTkxvcHhWdU9vUEZiY2hSbmttYjlvRHdxZ0lKQ1BTVGtvckQyWmNhU3pURnlqTmRvTTNaZ0d2RXFWYW5yVWs3OUhwMzd3b1pjSWJKcklEd2JCN0VnV1NLUFVReVFNdVc3Wnd0a2VfemZLT0dOc2lvMWt1LUY3UnJLZ2JTb2Jn0gGcAUFVX3lxTFBfTWVhWVZYYVhjemtRcnhnMzE3ZEEzdDQzSmk1RFlObWhUWVlidTZsOGpWbm5EWF9mV0pZdkFEelRyUmU1UEZOVEVZWUIyTjhIVmhLdlE5UXkyQkxLSWE4Y0lWZ1ZmdEFJMENLUWp1N09UdU9XeTdnNzkzNTMzMFdoX0d3Tmlpb0VlLW5fS0EzTmF2YzdEUEh5MmJqYw?oc=5</t>
  </si>
  <si>
    <t>The sentiment is not 'unrelated' because the headline mentions "Crude Oil Prices Today" which implies a connection to the oil market, and the concept of "Critical Minerals" could potentially impact the extraction, refining, or use of crude oil, thereby making the headline more related to oil prices than initially meets the eye.</t>
  </si>
  <si>
    <t>Oil Prices Surge as Israel and Iran Target Each Other's Energy Infrastructure - Crude Oil Prices Today | OilPrice.com</t>
  </si>
  <si>
    <t>https://news.google.com/rss/articles/CBMizAFBVV95cUxNNHFrdFNQZ19rZzZQaGdQQWphdlp0dHVENmI4ZGFrNjBRbGJTbEphS3BZWU4zcFk3SU1LRkRrdUZGU3ZIT2VZak9oLU5QUFlWLThpdGU1R3cyc0txcW1jcDlVeVMyVkFlVEx1WHdyVll1MTViQlRhOVN1UDVYdmc1Ul94T3pya0lneDlXVXo5SkZGZDRGMDFGTkFNMWl3OWQ5bU8zX1FocGp4UHBrVTI2Wi01YlJmMS1iNDZqdXRkbm5QNThpNTA4R2p5THDSAdIBQVVfeXFMTjRSQndZVlVpVDVyYURtbkp6X1hCQ0hQUFhfX2V0akRtNWNldEEzcGpWaUpBWW1COFhwalpRcFVFTENJdFAzVEVYaXZibm9ITm9OMXpjdE8wZ3JRUE81UlQ5Ym95VkZ6S3hNR3hvQ3lLQzV4ek53dExZNDNSRDFuUXAxYmRZZk44dUZzdkVoYXpiRzVxX1NZVFItNUlrOGpKcUJPUlJXdnN1S1VXN3lXajBBWDZWdzR6V3NQNTdOamRiZE16QzdfRmJsS1NQQWVCQnd3?oc=5</t>
  </si>
  <si>
    <t>The sentiment is 'bullish' because the headline suggests a potential disruption to global oil supplies due to the escalation of tensions between Israel and Iran, which could lead to higher crude oil prices.</t>
  </si>
  <si>
    <t>Iran's Oil and Gas Assets Rocked in Latest Round of Israeli Attacks - Crude Oil Prices Today | OilPrice.com</t>
  </si>
  <si>
    <t>https://news.google.com/rss/articles/CBMitAFBVV95cUxNRUIwdGVndzZQOGdrMTB3dUJiTXVNZVNLLWFFZWlOYXBEeVBkWjZ1SGVWRHhlS0d2RzJSSnloU0RHb2NpWERBeW1oMWxFOC1OakZhbFVhSWdTbmRMQTRUUmd5M3ROdFRSY2tFWDN3WTkyMndZNWQ4Nmg3OG50RFBJRHRMRUhERFc2MEhnNFlBTUhINHlRNkJXcUhhRkVPcmVvck5pVXBPTlFsQmtSZ2pOYmxsTFLSAboBQVVfeXFMTkFUd2c5WVZvaTVzSk1GSjBGTkVqbUdyVkN4elNiaTNlNTBXblpLSjE5QnpzZzB4eE0zM18xMWRTb0gwakFTa1VxZVk5VzNPZWhVTW9QLUlPUkwzSzNhNzRRbURuRUc1dFhrbmFnUUFNNDdRVURUUG9HV1NybkxjNW85Ym5PNXc2MWwyeDZSUEU2TkFOaDBHTmZqXzEtRHhsMTllTDhyX0pRNThKTllyZUlaNWVsOWxrbUFR?oc=5</t>
  </si>
  <si>
    <t>The sentiment is 'bullish' because the headline suggests a disruption to Iranian oil supplies, which could lead to a reduction in global oil output and consequently drive up crude oil prices.</t>
  </si>
  <si>
    <t>Israel-Iran battle escalates, civilians urged to evacuate target areas - Reuters</t>
  </si>
  <si>
    <t>https://news.google.com/rss/articles/CBMiogFBVV95cUxOLTAwNDNoY0tsWUdrZ0tGY3pFelJiN2haSTd3a29iWE82cTJrbEtWOXZMTmIwNzVJek5fUjVNQjg1R3JmVFVJNFdOMkdDdDhLMmMzXzIzYVdhV24wcGNoRU1pSG1HRno3eGd1WWRGNEttZy1uekZRNEVhSEg1SGpSLWlKNzEtaWtGN1piVWlZUEc1dFg4Sk9mWnB5LTZqOTVnYkE?oc=5</t>
  </si>
  <si>
    <t>The sentiment is not 'bullish' because geopolitical tensions and escalating conflicts in the Middle East, particularly between Israel and Iran, typically lead to increased uncertainty and volatility in the oil market, which is generally bearish for oil prices.</t>
  </si>
  <si>
    <t>Malaysiaâ€™s Oil Giant Petronas Looks Abroad to Help Cut Production Costs - Bloomberg.com</t>
  </si>
  <si>
    <t>https://news.google.com/rss/articles/CBMiswFBVV95cUxOUllRM2liX2dzZTNJaDN4a0VDdlNvZ1dQM2hXNlYySkxIclA4bGtxVjhCRXRfaUJqbDZPSHdSQWVFWXFzV2plNHVWU3luVzdnNUVSNmRxdEZBR2dvLU9HMnB3d2E2Ty10SzBZVkxYSk41emJYM1Z1d2ZuVVEtXzEyc0JKRktKcnpiUkJ2eEFfVDRHbzJ1VTVXeV95emFXUjhxbzRpa2hFSmdIN0xabFR1Z05JMA?oc=5</t>
  </si>
  <si>
    <t>The sentiment is 'bearish' because Petronas' decision to look abroad to cut production costs suggests that the company is facing challenges in its domestic operations, which could negatively impact its profitability and overall performance.</t>
  </si>
  <si>
    <t>Investors unnerved as Israel-Iran conflict fuels oil market rally - Reuters</t>
  </si>
  <si>
    <t>https://news.google.com/rss/articles/CBMiigFBVV95cUxOZGlPUGFSMzFNNDhUSGdyTGtrZXVGT3RkR1lQUFczVkZkSVhZTV9Ed3N5MmNhaUowZUJoTFVlSTZtMVV4RE5EcWRPSkN5UmxpS3ZENm10ZUVYM0YweWhwTjBIbGxLQjNULVFEbDZvY3plTGJQOGhDLXI5a3JHVzZHVDZGcnV6eEdpRHc?oc=5</t>
  </si>
  <si>
    <t>The sentiment is 'bullish' because the headline indicates that the Israel-Iran conflict is driving up oil prices, which would be a positive development for oil producers and investors holding long positions in oil.</t>
  </si>
  <si>
    <t>The Winners and Losers at $60 Oil - Crude Oil Prices Today | OilPrice.com</t>
  </si>
  <si>
    <t>https://news.google.com/rss/articles/CBMigAFBVV95cUxOWW5xNFQ5aTE3UlNicHpLZ3llMjJaQ2d2ZXJkZEtWVGJLSmJseklPVWlVUXp0d0tvQjU2XzlhNGpXTE9VSXBNRXNJWC1Jc3pDSi12aTZZSEpPNWtLOG4taXdlRkdkT1J5VUZlV1R2aTE1UjY2RkRjcmMza1JQdEdSZdIBhgFBVV95cUxOaVpPZ2pEWGlWYlJBSDNEeGJ2N3c5LWdhUXdrNnYtSXlLU1FONzZtS1JsSXp0dFNrNEV6R3RIREdzeWFpVnF1S19HbHhWYTdZRUJSVENTemNrM2k0YTFYbHBNYWN1RHRNTktNcDlLcktaZVByT0dyaGpzWHBTcEN2b0s1RWI4dw?oc=5</t>
  </si>
  <si>
    <t>The sentiment is 'unrelated' because the headline is a neutral, informative title that simply reports on the current state of oil prices and their impact on various stakeholders, without expressing a personal opinion or emotional tone.</t>
  </si>
  <si>
    <t>Russia Says It Struck Kremenchuk Oil Refinery in Ukraine - Bloomberg.com</t>
  </si>
  <si>
    <t>https://news.google.com/rss/articles/CBMitgFBVV95cUxQUjltMExwaWZtT0JVVno1UEkxT19vNlVPclJSdW5ZY2UyejFpTmRsbTNlcW9Qdm5JaFBwWW5La1R0Q1ZWY1dBUTJvbmx4azV1eWVTNTJDYmxkWnFQS2ZFNW5CbXZuWUYxT3J6OXZWa2ZXLURMb1JNcHdlcmpkMXZ2NDFlRWttRnJtT04tWFdELUZYVmVlU3RmWUpjeXJiRU15STAyd2JlRzVlNVRRWERtY05BNWdWdw?oc=5</t>
  </si>
  <si>
    <t>The sentiment is 'bearish' because the attack on a key oil refinery in Ukraine is likely to disrupt oil supplies and drive up prices, which would negatively impact the market.</t>
  </si>
  <si>
    <t>OPEC Stuck between Market Share Push, Demand Uncertainty - Crude Oil Prices Today | OilPrice.com</t>
  </si>
  <si>
    <t>https://news.google.com/rss/articles/CBMinwFBVV95cUxOUWJGcjFxa0hhWnRrYUxSR192b1phcDJ2c1E3cDd0amZtenFKWDhPcDlMYjVNSDBQY0xHcDdKNTNPS2FaeFU2NENlZHFKQ2lfUjhHMFJiM0hOQThKbjI3eTVHYm9Sa3ZENnVCQlNtcEZYc2lTRGV5bWNNdmJJOEphVFhJQXM1MTRqSUJrYUdzZkRGOWJRSS00NDlLUkpnS3fSAaQBQVVfeXFMUExiQ0hMa1AtajNmY0lUMDBpWWlVcFVRR0l3NENaNXdzeHh2MlBWczVLdThHR1ZIMHAxQVl3RjMxX3h3UVVwWmJLbnk0aFV0bnY0SjhaSV9KenBCMk9rYU5oc2lxZDhUMU1UamZ5UVByQVlVVG02NEhuVXpYMThPenBONUs1MWhObE1QUnl5YUc5UDBXemxsWnBPX0NKanRMTnBuYU0?oc=5</t>
  </si>
  <si>
    <t>The sentiment is not 'unrelated' because the headline actually conveys a neutral sentiment, as it presents a balanced view of OPEC's dilemma between maintaining market share and coping with demand uncertainty, which suggests that the market outcome is uncertain, rather than expressing a clear positive or negative sentiment.</t>
  </si>
  <si>
    <t>Traders Dive Into Options Market as Geopolitical Risk Flares - Bloomberg.com</t>
  </si>
  <si>
    <t>https://news.google.com/rss/articles/CBMisAFBVV95cUxQS3hLX3RWMVlKRnJfM0stalFMUlM2eDdTczBxMWFwcC14bzA0NE5XeWtfdGwtajBDRUtwMm1yQy1CWlRud0d1SU43NlNJdWZuQ1pnODVsUmhUc2k2MVp5bXZZOWUzbkxHLTVmUFV6QklHaElCc3FHaDFSQlZDU3JjdHhlZXZ6ZXNRSmVPRnZkVzd4dnVpcC0tU0hmX3lJZlg1WU45dWZ0UlhHVy11cG81aw?oc=5</t>
  </si>
  <si>
    <t>The sentiment is 'bearish' because the increase in options market activity, triggered by geopolitical risk flares, suggests that investors are seeking to hedge against potential price downturns, implying a negative outlook on the market.</t>
  </si>
  <si>
    <t>Israel Strikes Iranian Missile Launchers - WSJ</t>
  </si>
  <si>
    <t>https://news.google.com/rss/articles/CBMibEFVX3lxTE9mcXRITk41WGZWTEdiQ2xlV1czVDV1LVd0a1dyNVFySnc1NU1NeTA3Zk9wUnU3NkV0SHZSb2FwdGpvbkhTZU5veVI0VzNQQWplek5UWHZyUW8td2xXRThSanVDR0dBQm5fYXp3Yg?oc=5</t>
  </si>
  <si>
    <t>The sentiment is 'bullish' because the escalation of geopolitical tensions between Israel and Iran raises the risk of supply disruptions in the Middle East, which could lead to higher oil prices.</t>
  </si>
  <si>
    <t>Fear of Uncertainty Held S&amp;P 500 Back From Record. Now Itâ€™s Real - Bloomberg.com</t>
  </si>
  <si>
    <t>https://news.google.com/rss/articles/CBMitAFBVV95cUxQWkRtTU9FZjRKdGdOY1MtYnhyS3BKZEpNbnQ4T0NpUjVLWXRRV1pfT1ZnRzBYSWxQaU1rY1NfeEdnTVdZaFQyVlh3aXR3UHl1U1lEWXg4UWlQcWJ3T0ZsU1c0c0RMSFRCMW10ZTVab003RVFCdWJaWXNpeEZLLUNHaTR6TW84amhyZG5wY0lZN3BhbFFCeHFMRTVpQ2plekhTaDBrb01pTzh4ekNhR0d2dWVuOEY?oc=5</t>
  </si>
  <si>
    <t>The sentiment is 'bearish' because the headline implies that the S&amp;P 500, a broad market index, is failing to reach record highs due to uncertainty, suggesting a lack of confidence in the market's ability to sustain growth, which can have a ripple effect on other markets, including oil.</t>
  </si>
  <si>
    <t>How the U.S. is Handing Over Venezuela's Oil Sector to China - Crude Oil Prices Today | OilPrice.com</t>
  </si>
  <si>
    <t>https://news.google.com/rss/articles/CBMiqAFBVV95cUxQUy0zdGhYV3F6YjgtTXZ2a3dFOHVoY1VPTy1HN1FPNExxcVVTX1o5UU5BcVFFNFc0ODlfQ1JZSUJRVXRDSVhJTFE4Nk5uU1pPbFdkQ010bWQyU0lxSmhFa2FlNkt3R0JIWG12OXktSWNVVlpFNVpUUnY4aEl6S2VJR0hmSHpYaWhjYUdqa05kQTZDZ2JBUzZxZjhSRW0tRDJnWG9GaURPY1jSAa4BQVVfeXFMTUt3Q1h6Snh6Q1BFcE83anFpTTVmT1FpMTY1NGtYZkg0dHJZaDYtZWVWNThIVU9jSkpNVGRoVnY2ODhUNUpaekRLNWF3dzVyVjcycXNpT1FfRGdSdEpPZEQzd2F0V0RCNjNHU2prYXk2bFpnUEtSaWlVN2pQZUhCaFpYazUtZkRFNkJIUWdweXVUczhsNEJHZUhCejVJMjY0S2p5VHpVZGtPQmtwbFRB?oc=5</t>
  </si>
  <si>
    <t>The sentiment is 'bearish' because the headline suggests that the U.S. is ceding control of Venezuela's oil sector to China, which could lead to increased global oil supply and downward pressure on prices, causing concern for oil producers and investors.</t>
  </si>
  <si>
    <t>Automakers Pivot to Hybrids as EV Sales Lag Behind Expectations - Crude Oil Prices Today | OilPrice.com</t>
  </si>
  <si>
    <t>https://news.google.com/rss/articles/CBMisAFBVV95cUxOaXIzNXVybG50bnQtZlVDeVlHcTBJQVdKa2pLT3g5TjdrRjNLME5udnhJbWZVNWhiS1NFbVdYbjFxemVUZ1pGakdrREUwWHhfS0FlOHZvNllaWW1GeWp6VFRTcDIwVG9rZzU5dzlDTjlvNmQ2WkxEV2x1c1NFak5JWTBhdDhBV3pTUC1hTi1YdDJnbEJONnRqbWgwMHV4NTVlSjBkeHAycURXcWxOYy1FStIBtgFBVV95cUxNQnNRWG5wYnFQNV8wM3FEbWpyaG1KXzZyM3d5dVhkeW9vWlFnemY0YzZ1Q2t1T1RjRG1BQy0tMGQyc1RjbWFBbUNvV1ZUR200VEhTOEhFS3RTU3Y3a2hVZ3VET3pLVEZQeEp6TkhzSEFMaktyRTZSWE4wcmNreWpoWWlmaGtraWpqeEp5SklLa043VzREdWF6LUlJTEtRYmdDQ2VLSzVpTS1mOGFzdjhmZnB5VjRmUQ?oc=5</t>
  </si>
  <si>
    <t>The sentiment is 'bullish' because the headline suggests that automakers are shifting their focus to hybrids, implying a continued demand for crude oil, which could support prices, despite the lag in EV sales.</t>
  </si>
  <si>
    <t>Platinum's Price Surge Continues to Defy Expectations - Crude Oil Prices Today | OilPrice.com</t>
  </si>
  <si>
    <t>https://news.google.com/rss/articles/CBMiogFBVV95cUxPUkZNa192WXpmMjJkLS1jbnF5MmR0TTN1d19TSW1IY2dJU0VXeWp2WkppTk5YRWxncTFVVGFJY3B0WEdTTFFobzVRSEE0U09ZTG1zd3dTb2RPMmFzYlN6b2RRX1NHMGdqV0FFSDVyUUhPTW1EX1hLbWhpMjllQzQwUmx3V2J2U2stQl9ua1JHb2k5UUpoelg5N2V4aHQzMklWRWfSAacBQVVfeXFMUGp5ZnJHOEtWdmU1QlYxZ3N0SkdkWkswWTdoLTB4eVU3WTRPSGQ5cUpEM0N2OGM3QXgtVXRLckEtdDRiLVB2OU1uQms2VzNMVXh3allzTXlRQlk0LUllN2h5cVhLTFpSY180aHZpYmp4TWZHZlNNdGNWOGFYdnQxR2VGUW1Na1Z2S2taNU9iN2FKbjlDclo4dzZBeUMzSFl1SHFSX1ZOdHM?oc=5</t>
  </si>
  <si>
    <t>The sentiment is not 'unrelated' because the headline explicitly mentions crude oil prices, which is a related topic to platinum prices, as both are commodities in the energy market and their prices can be influenced by similar market factors.</t>
  </si>
  <si>
    <t>ECB's Lagarde says 2% inflation target in reach - Reuters</t>
  </si>
  <si>
    <t>https://news.google.com/rss/articles/CBMimAFBVV95cUxPTUhkYUhfdHV5QVRPcTYtanAwMkRXcVJBWk4yZXdpZlRTTkVubFJsRFdaZDdTbkIxLWF5amJTT3dwTld5QnlqYUptRlY2SVVqT3VCRDVxQVhUQUhjaU56cXFHQUF1MDZZVUR3ak9tTzF0eFdVa0ROdXR1MndpZll6ZHhjYnRUXzhWcGN4ZlBScVNwamxwdWZJTA?oc=5</t>
  </si>
  <si>
    <t>The sentiment is 'bullish' because a 2% inflation target being in reach suggests that the European economy is growing and demand is increasing, which would lead to higher energy consumption and ultimately boost oil prices.</t>
  </si>
  <si>
    <t>Iran says production at world's largest gas field partly suspended after Israeli attack - Reuters</t>
  </si>
  <si>
    <t>https://news.google.com/rss/articles/CBMiygFBVV95cUxQM3FUUUVBOEF4ejFvaXNVbUlKbklTQl9iMzZfUUhWTmRrU3dfSVNRVnZORGFPdnVRMm1vcFJFNnVXX3d6X2tjOHZ0VE9jLTdia0V3MjlpUF9kWFZhQWZuYnYxeEVhZzJYeXRUWHBNTVFIOU14SHpIR2FLVU9wbFB3N2FLRC1yNVQyNUszQ1VmSjVpQndxY0NhbERhVzNwbHdVMzB3ZFNSRVJ2MkRCcl94V0swc3FRQVlTcVdFR1p4cFJ5V09YaWdIM3Fn?oc=5</t>
  </si>
  <si>
    <t>The sentiment is not 'bullish' because a suspension of production at the world's largest gas field would likely lead to reduced supplies and potentially higher prices, which would be bearish for the oil market, not bullish.</t>
  </si>
  <si>
    <t>Israel Strikes Refinery at Iranâ€™s Giant South Pars Gas Field - Bloomberg.com</t>
  </si>
  <si>
    <t>https://news.google.com/rss/articles/CBMisAFBVV95cUxNM3FjTmVnZmJnNnJXdnBOaDFONzdaQmtRMFg0LUJqcGd6OHZaUDh1d09qRlFYRTduT1JQbkN5YnhIblM0cXNaSGZUQnFFYzJkbk15RE80UmVCTGU2d1dhQ3RMbUJQQnlkNmVLTmtkLXFoWENiTWJZdVkzTWhfbHpBa0pkblZNTDZCU3pXR2VlYkpNdjBiV1VSMW9zdWhPU1N4OFItZ045Z2NpbTdLT1BaUw?oc=5</t>
  </si>
  <si>
    <t>The sentiment is not 'bullish' because an attack on a major gas field is likely to disrupt supply and drive up prices, which would be bearish for the market, rather than bullish.</t>
  </si>
  <si>
    <t>OPEC+ would struggle to cover major Iranian oil supply disruption - Reuters</t>
  </si>
  <si>
    <t>https://news.google.com/rss/articles/CBMiswFBVV95cUxPR0FqbjEtbkRTYlBaZG13OWtyTVhjaEhLMFNMbEJMb2l1bEZsanRxaVJUSWdsNU9ncEtFZzJUUFBqZmtNVDd3U3FzRTJYTVR1TEJBRllmRHFlSzJHU3YzSTlBYW8tcDlGd1pZZXZOWVQtSWNlQ0Z2TVdVLUdaTmp5cTY1RER1TVcyZXVVcHRRVVRtazdicThVMDR5NUp2UlNyUzJ3MjA4TVFabUQwUFcyVFh2UQ?oc=5</t>
  </si>
  <si>
    <t>The sentiment is not 'bullish' because a major Iranian oil supply disruption would likely lead to a sharp increase in oil prices, which would be bearish for the market, not bullish.</t>
  </si>
  <si>
    <t>Bunge's $34 billion Viterra merger clears final China hurdle - Reuters</t>
  </si>
  <si>
    <t>https://news.google.com/rss/articles/CBMiowFBVV95cUxNcldfaFl0akNSTndfWEI5Qk9ZRFE2MDgyY1RUNXBQSEdoUURoTFBqSHZ6SFlnNzlXaFFmSnVFYklhMjNrTlJuV002S2dyc1NkVzRjWHRiY295Wl84MV9XeTV1Ql9WWUlTeGZqQXF6eWRpOURzSnRPdGFPcTNMTnFSbXg1ZGdDNnRkWW10UGpmY00tMUxHMXU0TUpCSXJhT3ptNy1N?oc=5</t>
  </si>
  <si>
    <t>The sentiment is 'unrelated' because the headline is discussing a merger between Bunge and Viterra, which are both agribusiness companies, and does not contain any information relevant to the oil market.</t>
  </si>
  <si>
    <t>Pakistan Strikes Critical Win With Oil, Gas Wildcat Discovery - Crude Oil Prices Today | OilPrice.com</t>
  </si>
  <si>
    <t>https://news.google.com/rss/articles/CBMitwFBVV95cUxONDRCXzBodXJDMmpTQ0dUNVl5WG5yOEVjUnQzVE5BVEdndUxnQlQ0TFBDZkpZT09sdG41bHVEWmVUM0V1YUplQ1dEZzZuQjhTc0g4ZWlzM3A3TXV3MG1pUTFKVk44V2pVYU5wT3dLenYyV1AwUnZPRDEybTBscmFhVTROdWk4bWJWUlFYNnFGa3lDZ2JZSVFxR182QmlWOWh5U1U3aE04c0t4YlRyXzBObGhqMW9jTDDSAbwBQVVfeXFMTlBfclZBQ2prbWFGeVF0VG9wSVBpS2ZjVGtzQmhnQlE2SEd3d01aSDNqMTdpeEZtdnFHaHVuZ1FGakRQd3JwVmF6R0dtekFYRzl5dDA5Mmx1NzNjaUZOUjRpVi00VURLOHk5OGRQVGFtdF82RG1hZHRPelpMZkFIZGs3UWxkNGptN3gyLU5FdEhVZE5GcGp1cFV5blMwYmVwNDBPWlp5WUNOUFRCbTRfR3hZRVljNE00WHhmcW8?oc=5</t>
  </si>
  <si>
    <t>The sentiment is not 'bearish' because the discovery of new oil and gas reserves in Pakistan could actually lead to increased global supply, which might put downward pressure on prices, but the headline emphasizes the critical win for Pakistan, implying a positive development that could boost economic prospects, rather than necessarily impacting oil prices negatively.</t>
  </si>
  <si>
    <t>Oil Prices Soar After Israel Targets Iran's Nuclear Program - Crude Oil Prices Today | OilPrice.com</t>
  </si>
  <si>
    <t>https://news.google.com/rss/articles/CBMiqgFBVV95cUxOX21GS2UxaG5acTFkTno2ZTRGSUdNbGdJUkRZc05IMDA1YlY3bFMxOEVab2hYVldRSS05djE1NUVDc3VJWkJzVnY3c0cxb3hYQmhHWmVybm05NlBST2U3X1kxOEl0STNKUUJUTE1ZZk90dGduYndyWkE5VGRic2lRRnF3SFo4eVJPQktkeDdvM1k4R0tvRXpPNUJrMTktWHRYMzB6MlpxWV9Fd9IBrwFBVV95cUxQS0gwbmhlcDhJV29lSnBUVmlXbnhZaVd4bUd1bFBDOU1pTUoydjd6V1VKdmNSSnZid0lUdGdQQ21UcW9wdE1ibU9keTcyTFVUUFRwdDlFd3k3LUpjRVQ3b0tiTjBOSDh3a2dqeWdUMG9YYjNmLUllLVZSazdrUy1oQ3d5Zy1Ob1pBMFE2NXg1TDJIOG1RakVsY2cycDc2TFJMWE9xbGJSTnJEVy10a3Uw?oc=5</t>
  </si>
  <si>
    <t>The sentiment is 'bullish' because the headline suggests a potential disruption to Iranian oil production and exports, which would likely lead to a reduction in global oil supply and, therefore, drive up prices.</t>
  </si>
  <si>
    <t>Oil Prices Set for the Biggest One-Day Gain Since 2022 - Crude Oil Prices Today | OilPrice.com</t>
  </si>
  <si>
    <t>https://news.google.com/rss/articles/CBMipAFBVV95cUxPMURyaXRQeWhVOU1fNE1WTDY2WS1FZ2lFUjhqcDZja3dxbW1Ra3VhN1FGbV9HS0J1RWUtTGZUaTFBT3dpVEZYN3kzSVg0ZnlWZjFURklmVDNGZUJERDJxYW1ueDdxSlBUaGpwNFhvMDQ0Z0ZEd0Q4ckp5a0R4WFZneThKSElFTXpMLWFoczBJWTBqZVhGTkNSNWowbmpQRDZmeDhTd9IBqgFBVV95cUxPeHBTRjZFVVN5cVR4M3JHTEZUSFZlazY1VkJnRmlkZWJPTkxjeGdsanBQSnNKTWplRzgwLU9KWmVfQ1RsRUhDMHJraUJueF9ScC1nUlBQOTNCY0lKTTNoa2VLZTV5YWl3Z0laMU4yS2toZFVDYVpIUmxjNTdSaUZTaXV2Rm9zbGhRWFJzQzVLTlJuVmx3NG1HLXlNOXlSMWp1dkc3M2IxU0dHQQ?oc=5</t>
  </si>
  <si>
    <t>The sentiment is 'bullish' because the headline suggests a significant and rapid increase in oil prices, which would typically be a positive development for oil producers and investors, indicating a strengthening demand and potentially leading to higher revenues and profitability.</t>
  </si>
  <si>
    <t>Big disruption to oil supply unlikely after Israel's attack on Iran, say analysts - Reuters</t>
  </si>
  <si>
    <t>https://news.google.com/rss/articles/CBMiwwFBVV95cUxQSzI1eDMxbmotck1ZUWhxZE5kNXYtMkJUMjZmdzd2YWF4WVNldzJJdjg2U05zVmtORVEtbjlPbWZ3VWZtU29ac05XQW5iTFZFQ1VWc0FsVzlTUlBoR3B0U29sZDRpOGxwQUZLU3pSNUVTUjh5aG5Bd0xLbHpHZW93TXJQQVFBTkcwc09NOVRueWI3Tlh5VE5HeDZUbF9oN2NicWo4VVlXNVF4Ri1oUWlLVFZIdjVpQWpjdGE0VTd1UFBBMk0?oc=5</t>
  </si>
  <si>
    <t>The sentiment is 'bullish' because the reassurance that a big disruption to oil supply is unlikely reduces market uncertainty and anxiety, which could lead to a decrease in oil prices and a sense of calm in the market.</t>
  </si>
  <si>
    <t>U.S.-China Trade Talks Reignite Oil Demand Optimism - Crude Oil Prices Today | OilPrice.com</t>
  </si>
  <si>
    <t>https://news.google.com/rss/articles/CBMingFBVV95cUxNY3VUdE91QW5wVFBsRElOQklTV0dMUXlqRTFaZE0zLVZSNlJJb2pIWnZ4VmtRM2RHSXFKbkZTZE53blBCT3NUTGFjUE5GYml2X2IzekFUajFRcU9wdWN1ZjdsVVFYUmRZT2FLU2VYY1g3Um04UDNvVjRwd2l1WHhiaTZfc0hDRW1obU9sQlYtNWpnS0Q1SzRVbjhXR0Y2d9IBowFBVV95cUxQMXJac2hyekxfb2xIVE9jMTBFRFRlLVh5bFVNSFNHNnM2eGJ1WEhfRVhLbThWQWRJR3d5NEpxamhlc3huZk90OUllVGQ3VDFGemNRVXpUenVEZDd5ZTdQYktyTWRTU3RwcTFWMmxqTUVhMmt3a2pSM0h0b21NUEZKUGdlajRjTGUtbFVXdEJ6bWZXdFdqam50Tkp0c01pNlNTMmhJ?oc=5</t>
  </si>
  <si>
    <t>The sentiment is 'bullish' because the renewal of U.S.-China trade talks implies a potential easing of trade tensions, which could lead to increased economic growth and a subsequent rise in oil demand, supporting higher crude oil prices.</t>
  </si>
  <si>
    <t>Fed to keep rates steady as tariffs, possible oil shock counter inflation data - Reuters</t>
  </si>
  <si>
    <t>https://news.google.com/rss/articles/CBMisgFBVV95cUxQRW5Bd2VMbW1WNk1ZQ1J4bE1lS3J5UTFwTTNFVmxVNXFXVnNkcWlGSUNXd0FneGFfLVVTLWFuVVlBallRYXlkUDRrVkdxYlM3czY3clBxTmR2OUVHYzBSRFFZWjRsdlNTYUVPRHBSVW1RQWx0X3M3Um1hYWQ2SHNxSTB5bl9ZR0s1LTJjZTdoejNBd2F4U2w0bXNGOVpqWXVCTTU4Z2dVWE9nTzZ3QTR0Q1Nn?oc=5</t>
  </si>
  <si>
    <t>The sentiment is 'bearish' because the headline suggests that the Fed will prioritize concerns over tariffs and a possible oil shock over positive inflation data, implying a cautious stance that may negatively impact the economy and, by extension, the oil market.</t>
  </si>
  <si>
    <t>China Record Drives World EV Sales Up 24% in May - Crude Oil Prices Today | OilPrice.com</t>
  </si>
  <si>
    <t>https://news.google.com/rss/articles/CBMipgFBVV95cUxNc0dyWjlSOHJBUkxYWkJTRjNUbDl5X29EQ1JlRXhJVzRnS0l0cGhWUU5BQjdhZEZ5OVo4RFpaQUk4eXllanp0WVNpWnNTRk9Pd2FjRko2Z2kzd1dyNDcwclJjUkJBMVExTnpoU3V6MmhMLXpSY0pkZFZCYzZtcUdUaUhxY2pDTnl5eTBpZzNfMmZRZWt1S21ob1dvWXpfSWZJZExwV05B0gGrAUFVX3lxTE9yeGxOVm81SWhZT1pVUUpzY0g3MDlqdVMzNndETnRVN2xhQzdJODVsMFNMSUlkMm5wYWtISGlhYmR4elcyeWdjMGN2YzBzRkprcVhjUV8yRm9BdWU0WU5wNXVpeFBoNXRRRy1SNDZwMzdkVVFjanFOck5tc0F1V1RaLU1QMFhrRHdvYU5ENEo3NUNVbHl3eGlFSkZxaG9fUEhFTVR5NEpiNWVibw?oc=5</t>
  </si>
  <si>
    <t>The sentiment is 'bearish' because the increase in electric vehicle sales driven by China's record-breaking performance implies a potential decline in demand for crude oil, which would exert downward pressure on oil prices.</t>
  </si>
  <si>
    <t>Israel Shuts Leviathan Gas Field Amid Iran Conflict, Choking Supply to Egypt - Crude Oil Prices Today | OilPrice.com</t>
  </si>
  <si>
    <t>https://news.google.com/rss/articles/CBMiwAFBVV95cUxPRFBlLVc5dFlBcGljaHc0U0Fqb2pkYzUyTUN1YjJDcmRVSmhMeWhFd2dXTXp2VW5aUFl5U1psQTFxYVduMHozMGJYUUl1SWR5QjZybWZGVUJEaGFxOFZKbjcwT2VhTnZtTWhCeGdWcEo5TEZmT3p0Qm13Z3oyLVBxQjhEeHlzd1ZDQW1JWHNUTDNZclN4UnBaT3ZfYTdJeHpjcUJIa3g0Z2JHOFlXVDlzMmpZN3VHTjBEMXZ2cnJRYWzSAcYBQVVfeXFMTk5LYkMzY2NPd2FlOGhMcVJmTExSVlFBVTZuUWZ4eVNzVlBFeDFVNXl0blA5UTZJMk40aEVZRnlaeG03OUoxUllqc0NNVEU2bXF2R0JHSElWTjZkNUVsaHVBMlRkelI5ek51TjlkekhWT0J6c21jWDg2Vk1NWjNfeWdDTG9pT3liQWlXTnEwVmNEbmxsc0pXRmZaR1R5c0w3MmMtbTctVEhoSXllMFdRRXd6Rm5sSUJtcXY3eGtYQkNCZGlyWl9n?oc=5</t>
  </si>
  <si>
    <t>The sentiment is 'bullish' because the shutdown of the Leviathan gas field, a major supplier to Egypt, will likely lead to a reduction in global oil supply, which in turn will put upward pressure on crude oil prices.</t>
  </si>
  <si>
    <t>China's 2025 LNG imports expected to fall in unusual downturn, analysts say - Reuters</t>
  </si>
  <si>
    <t>https://news.google.com/rss/articles/CBMiuwFBVV95cUxQOUFRMkZ3Q0IwOENSSnlrV1llNUhQbHRXck5SbXFsSEc2VS1iYWhHNGRiMmJEaEhHaURUZUlpQ3RjQzlzdEM1VTZ3bUpsWU13LUNMeXlzZWZxZ3pCbmlMblI5MVREazdYMVJ6cVNjRlppaVF2QjZwS21Fc2s3NVFOcm02d1RydUFMMGk0ZmRZZTVUbUo0TTRWbGMtYVpoTGdsdEo3cUNPM3Y4OHJmVzBzbnpGdW11X2ZsMVc0?oc=5</t>
  </si>
  <si>
    <t>The sentiment is 'bearish' because a decline in China's LNG imports, which is a significant demand center, would likely lead to a surplus in the global market, putting downward pressure on prices and affecting the profitability of LNG producers and exporters.</t>
  </si>
  <si>
    <t>Stock Market News, June 13, 2025: Dow Drops 770 Points, Oil Surges, After Israel and Iran Trade Attacks - WSJ</t>
  </si>
  <si>
    <t>https://news.google.com/rss/articles/CBMijwFBVV95cUxPd2RiZTRnUG1EZXlzWEdtdVNvOGpWSUpBMi1JR2E3R0U1SjV1eUY0ejVBWEgzcDVTWWxwb2RXU0kxYjg4ekw3QkRDS3ctMTJlZEJWVkVwWXhUX0V5TDh5a1ljSC1QX2ZpNXdHeFE3VnRWeS0wMG40ODNFcVFPeDdaNllTckNCLXJmWmc1bTN1RQ?oc=5</t>
  </si>
  <si>
    <t>The sentiment is not 'bullish' because the headline suggests a sharp decline in the stock market (Dow Drops 770 Points) and geopotential turmoil (Israel and Iran trade attacks), which would typically be associated with a bearish sentiment, not bullish.</t>
  </si>
  <si>
    <t>Kazakhstan Eyes Closer Ties with ExxonMobil to Boost Hydrocarbon Output - Crude Oil Prices Today | OilPrice.com</t>
  </si>
  <si>
    <t>https://news.google.com/rss/articles/CBMirwFBVV95cUxOMHBhYkJEcjYzMlFJOGhUVThseWVuRjEzSWE0MDVJRnRSMW9BRFdpdENXQ1hrS2JtOG5aSWs5V0xiRHg2cXZRMVc0QzV0OGF0eUVuTTBYdTBfaExTXzdsZ0xfNjJWQXp2NkdENmRqLThlek5veGJwT29FSXo0SGpBS3ZYZEhlNXZCUFRLdVJfV253OC13Wk8wTElOSHNYVnlwU1JpOTBUTTlHSVhiWnpr0gG0AUFVX3lxTE1qOHpZVjVqSzVGVndMMlhkV1Q0M0hDODRLNl9uTHI4OWpGSDY3VkVQOTJudklaS3pHTW5hN3lQaEVfSW1PTnpEZ094d1Y3dVZlc3NPbS1zMEFSemNXcXp5X0prN045OHNJaDRnc2p2eko1amdvejZ2WFRSYTRkWGdORFBvNExRRlgyU2diS0ZvSUxGWFBwZmlOZ19VaERSVmpSMGN2X2dsMzRyeTV0b2hTNHhiRg?oc=5</t>
  </si>
  <si>
    <t>The sentiment is 'bullish' because the headline suggests that Kazakhstan is seeking to increase hydrocarbon output, which implies potential increased production and supply, which could lead to higher crude oil prices, benefiting oil producers and investors.</t>
  </si>
  <si>
    <t>Macro Matters: Oil 'could go to $120' if Middle East tensions escalate - Reuters</t>
  </si>
  <si>
    <t>https://news.google.com/rss/articles/CBMiZ0FVX3lxTE5wZ0R5MHU1MG5uSnZkYTE5UVdBNzd2RDNaUXNkZVNNT25zZDlLaWdlSGhxUll1TWNSVllYLU1jMGRWbDZQTjVwbGNtZTJhei0zR1I0c25oUjZ4UW1xRGlUWEFNcHpFRUk?oc=5</t>
  </si>
  <si>
    <t>The sentiment is 'bullish' because the headline suggests that oil prices could surge to $120 if Middle East tensions escalate, implying a potential significant upside movement in oil prices, which is a positive outlook for oil bulls.</t>
  </si>
  <si>
    <t>Oil-Tanker Operator Is â€˜Far More Hesitantâ€™ About Cargoes in Middle East - Bloomberg.com</t>
  </si>
  <si>
    <t>https://news.google.com/rss/articles/CBMirwFBVV95cUxNYVhuUDN2RjltSnBacDJILXlzVkhWeDRIXy1vMmU0d29OdExYVVdCbGJ5OV9ZRTl0T3FSbWVVTHJYS2dmcDcwUHcyUlVSTE1VVTRFSmNwd1lXc01NUkYwWnd3eDE0d21fRlV0cjhtQkI5WjJRbUlLVUk2Wl9YMUlYMEs3YmJQVnA5aENKc1hMZkd6VExrd3AtZzNtLVJScGlfNkdsZVpSNzM1ZG1DX3p3?oc=5</t>
  </si>
  <si>
    <t>The sentiment is 'bearish' because the headline suggests that an oil-tanker operator is becoming more cautious about transporting cargoes in the Middle East, implying potential disruptions to oil supply and increased uncertainty in the market, which could lead to downward pressure on oil prices.</t>
  </si>
  <si>
    <t>Japan issues rare warnings on bond market in policy roadmap - Reuters</t>
  </si>
  <si>
    <t>https://news.google.com/rss/articles/CBMipAFBVV95cUxOTmY5ZnYxWS1rMHFja1pvQ005Z1U5MWpvWmZUczJqUHQ2Smprd3BHaVFkNm0tVXlqcThWblhCNzRYZGNmcnhva2RIaUdIeFFRcnFUXzBwd25nZUNnWkp6ekNIMXdPcmNmS0FvclhZU092RDBVb19OdTFTUzQzT3ZJWWYzRTBTSE5pZ3k4ZUhoMGdvUjlESDd2VVZCRFVjYmRQQmlIdA?oc=5</t>
  </si>
  <si>
    <t>The sentiment is 'unrelated' because the headline is referring to Japan's bond market and monetary policy, which has no direct connection to the oil market, making it unrelated to my area of expertise as an oil market analyst.</t>
  </si>
  <si>
    <t>US drillers cut oil/gas rigs for 7th week to lowest since 2021, Baker Hughes says - Reuters</t>
  </si>
  <si>
    <t>https://news.google.com/rss/articles/CBMiwgFBVV95cUxNUWl3d25waXlZNHNBWkU5X2pZcFplQ0l0QTU1c3VaTEU3aVRSVm9JcXpCRDlRdXFvbkgyZUs2VzZvNFFPLVZNUU1OQ1J3c0x1YUlzMG9hVjZ4Z3hIU3hfQ3FxN09UYVU3V0F6bzBrcHpKTUQ1dy1jM3NUM3pjSl9wSC1vdW40a2FuQmtaZGlrb1J4UXFseWZSV1o4eFRBYm9BREVaNXBoQTJkR1VYVXQwblppY0FuWmNDR00xeFFhMldxQQ?oc=5</t>
  </si>
  <si>
    <t>The sentiment is not 'bullish' because a reduction in oil and gas rigs typically indicates decreased supply, which could lead to tighter markets and higher prices, but in this context, it may actually be bearish as it suggests a slowdown in production activity due to various factors such as decreased demand or increased costs.</t>
  </si>
  <si>
    <t>Key Oil Market Trades Are Lighting Up After Israelâ€™s Attack - Bloomberg.com</t>
  </si>
  <si>
    <t>https://news.google.com/rss/articles/CBMirwFBVV95cUxPWm9DVkRuY1NueE84eldKZGdVblB2c2Z4U1d4UHZqQnJWTWxrZEc5cS1aSEp6X1E4UzY4Zkx1MVZMMkhCNDBtajJjeklaQTh3TzJYNnh6R1R4eTRsUlpXYnFFdGhyMEpEdXRrMEF3ZUZGNHZFZnMySnp6QkRqVlF4VmpDWEdYc2l1NlROblAwa2hzZFZibmpUVUNtV0V4VTFneWlfUDBOSDRyZnNjR2RF?oc=5</t>
  </si>
  <si>
    <t>The sentiment is 'bullish' because the attack on Israel is likely to disrupt oil supplies, leading to increased prices and trading activity in the oil market, which would be beneficial for oil traders and investors with long positions.</t>
  </si>
  <si>
    <t>Eastern Libya Approves Parallel Budget to Boost Haftar's Leverage - Crude Oil Prices Today | OilPrice.com</t>
  </si>
  <si>
    <t>https://news.google.com/rss/articles/CBMisgFBVV95cUxPMm9pQjkwVUk2WXlBYWRiZ2pRS3NaUTJIRHVsOFZ6RW5Ec21DYWFMRk8tWXhkemFCUGNtbGc5b0dRX3FOX1k0THJXZ1BvRks5bFJjZmtZN2JNQzh6amlRWEZiQ2trSUc1WUEzNElxakQzMDdQekx6d2xscFdTeS1UMjZZNlM4bWNibldjTFpYamhiRzlRaUVqQ01FY1FOckhvOFhjVkU3a0Y5MlNlcDlRWERR0gG3AUFVX3lxTE9LMjdJVFJ3MkZxZXJRR3hnWEU3b2ZHc1J3cjI4Ul81NUtxdXkwTkNlbUVoQlRMa2lpdnAySzlHb2FjdHFuUUJuTkZOSWwyb0xYZDdxTmFENkpZQm52bU83SUdEeFpiMDl5ZHNGcEFRRUphb19SOHVlZzZHMm5KWFdVTVU2YVh5bjR2d0dpRmNjOGpKckhnTWJIcnNsS0tkVlp3SG8yY011Wk5rM3lYUUx4cTkxbDVnNA?oc=5</t>
  </si>
  <si>
    <t>The sentiment is 'bullish' because the approval of a parallel budget in Eastern Libya is likely to increase General Haftar's influence, which could lead to a more stable and secure operating environment for oil producers in the region, thus positively impacting oil prices.</t>
  </si>
  <si>
    <t>Oil settles up 7% as Israel, Iran trade air strikes - Reuters</t>
  </si>
  <si>
    <t>https://news.google.com/rss/articles/CBMiowFBVV95cUxPanE4OFcyMHdIN1FKMUU4b2IyNlVrNG9LcENibDFQMEFSZmJqYm1RN2V5Y0w2SU0yM3BXbEFJZUwtTFR6SVAwaFd2NUhIWjhNT0NuakhLNHhqV3ZUeTJYRkJKb3EtZkJaQ1BoeG9nNnQwdXBtSE1sSmxhb2g5ZkJ5aHVYc1VQX2p4MFY0YTdIcWRualRJVUthZG5hWUFpZktpd0dn?oc=5</t>
  </si>
  <si>
    <t>The sentiment is 'bullish' because the headline suggests that geopolitical tensions between Israel and Iran are escalating, which typically leads to an increase in oil prices as investors perceive a higher risk of supply disruptions in the Middle East.</t>
  </si>
  <si>
    <t>Traders pile into $80 US oil bets as tensions rise in Middle East - Reuters</t>
  </si>
  <si>
    <t>https://news.google.com/rss/articles/CBMirwFBVV95cUxOQ3ZZYVc3cGpueVR4enRod1RCUnZTdmJPMVJDdjFWd2VOdnZYUDBJWDdvMWVCcnd0Mm1HaTlqTWNWelMzVVpqU0pTc2ZlYjZmckU1bUxmTVNpeDg5c2ZKSVdCYzhMWkwtQUt4VDZpVGEwSENic2NmT2hlcHBtbl9CbjA3VXVNalB5VjltLVp6NFVDVmt6ZjYwaXlBYlhrcmRBbkR3Mmc5eTU2ZmV6Wl9v?oc=5</t>
  </si>
  <si>
    <t>The sentiment is 'bullish' because the headline suggests that traders are increasingly betting on higher oil prices, likely driven by concerns over supply disruptions in the Middle East, which implies a upward pressure on oil prices.</t>
  </si>
  <si>
    <t>Oil Curve Shift Shows Fears of Protracted Mideast Conflict - Bloomberg.com</t>
  </si>
  <si>
    <t>https://news.google.com/rss/articles/CBMitAFBVV95cUxOS1FHcURNbVNmMGZ4ZGJBMVFPcGdsWFFUTkhNdjZybkNudTlmVlllRUZPLTQ3c0JuSkJSbUdHRXk1THA3Z0o4dk0tN2pZMTZlalBHN3FoRWd5Nks3c3FsVVdQTDBjdXVIdkhOZjNuX2tkSVNZME1YN2owT1dHX0FtQXFyMVRMZEZVTktWczhjUjNCQ3NldG9sQVpYdk5MZC1UVVV5WkFZNi1abG9ha1hSMzkyS3o?oc=5</t>
  </si>
  <si>
    <t>The sentiment is not 'bullish' because a protracted Mideast conflict typically implies increased uncertainty, supply disruptions, and potential price volatility, which would likely lead to bearish rather than bullish sentiment in the oil market.</t>
  </si>
  <si>
    <t>Oil Forecasters Rush to Revise Outlooks as Israel-Iran Conflict Escalates - Crude Oil Prices Today | OilPrice.com</t>
  </si>
  <si>
    <t>https://news.google.com/rss/articles/CBMivgFBVV95cUxQWl9PbkxaVXQwdDNJdUdYVFJWc3pENi1vUF9EczVmMXJOeDhxa1BCVkdjdkl1S1o1a2c0RWo0WGswYVE5eF9pVTE2LTN4bFRGRUJCNEtnaTBXNnNSODdvWkExYzl4c0h0RU1jS0tiN3BFOURIaHZOcnJGSXVHM3pHcERKWnFpQWxhcWFDcFpEYWU0RjNHZ09XVEZwczEwV25vMDhaSFhRdXVlcTl4N1RSZEJwNWpxYUZkYUhKUi1n0gHDAUFVX3lxTE5keFMwUzhjcU5GaEhwdWs4Sk9BU2VmMXlrN2tsRkx5cHh2WFFLYjlvRTdTTjVmUG5uVXViUjhvYnpJbVdUV2h0UUZuQVhsSTllLTRTZ1JlQWJ4WTlWMGNHbjByaHRwLWlFWmtFR2VYWDZ2RnFzUjVZZlZXaWNUaXFYZjlDYmJkbXo2MGwtVV9FMkU0TEh6eDEzc05zTFBQc3lJakdqc0xFQjVOMTJ3MnBScGVtNG9pNE1FQnNxa3BUaEZyMA?oc=5</t>
  </si>
  <si>
    <t>The sentiment is 'bullish' because the escalating conflict between Israel and Iran is likely to disrupt oil supplies, leading to potential supply chain disruptions and upward pressure on crude oil prices.</t>
  </si>
  <si>
    <t>Oil Outlook in Flux as Analysts Revise Views After Israel Strike - Bloomberg.com</t>
  </si>
  <si>
    <t>https://news.google.com/rss/articles/CBMitgFBVV95cUxOZ2tRcnRBcVVkV3RoOVVFRHZkNFpGNldJRlpjUF9RZWhRYWVfVkN6S1RFTmxQRUxwQmtlRTRlZm5aeXpSa01OWkotcEREdEtBYjZ5cUllN3d0TXJORzBuamJjdnVqb1dsdEVtZWswQlNzbjdBRHRSWXY2NjVDYTQzQlpTN2lIZ0JiX2hoVlVpci1uOWk1VW9PdnN4S3JXZkVmV1FnWTFvb0tyUkt1SHFEaG9QQmxBZw?oc=5</t>
  </si>
  <si>
    <t>The sentiment is 'neutral/uncertain' because the headline suggests that analysts are revising their views on the oil outlook, implying a lack of consensus or clarity on the direction of the market, which is reflected in the neutral/uncertain sentiment.</t>
  </si>
  <si>
    <t>Why The Market Reaction to Israel's Bombing of Iran is an Overreaction - Crude Oil Prices Today | OilPrice.com</t>
  </si>
  <si>
    <t>https://news.google.com/rss/articles/CBMisgFBVV95cUxQR0l2VEtpTXR3TXdXeHJqZWp1bVNaUExHRVVuUm5wX0RtdHBOWUhxSldLZnVGVktySjN0c0NHUWlmXzB1Tm1QNUJWRmFWSmpkUHlJQXhBdG9iVFFaX19RbWUzdWR3dVRRd2JUN1hPenZ3OWF4RWpjRUdON2Z2QWROV0Y5TDR1UXRKQXpJTDh4ZWstVkdRWWxtOWNwVG8teWtCeHVkcFpoSEZkekx3WW56SjlB0gG3AUFVX3lxTFBUcGotV3M5SFY3aTNtMTdjb05Xd1FHTnY0UmtTNzJBYjlITE56clUyTjRxdHB1b21HM3A2MlZQdmtHWWIwT2s1MlYweG14c1Yzc0hLMlN6QWlZbmdEVjRVRG5ZV3VWanBMb3VRVmthVWJTWnlWUDRXaGU5STNTUmdVcHRnUnFJM0NfQ3ROcVpraHk5Z1dTeGJsYUl4VkdwRm9SN3RFYWU2QTdYaVpHQzNzaWJmQ0lKNA?oc=5</t>
  </si>
  <si>
    <t>The sentiment is 'bullish' because the article's title suggests that the market's reaction to the geopolitical event is excessive, implying that oil prices may retreat from their current levels, which would be a positive development for consumers and potentially beneficial for the economy.</t>
  </si>
  <si>
    <t>Chevron and Halliburton Launch Autonomous Fracturing Tech in Colorado - Crude Oil Prices Today | OilPrice.com</t>
  </si>
  <si>
    <t>https://news.google.com/rss/articles/CBMirAFBVV95cUxOU0QxVUU5bGxTcklzVHRVQWlsandQejdjY2dzeDlEUmhMRUpsaFRVb3dPOUh2cTdWLXNXWkdQYm9HbmZ5ejdaQWFNT0RMbXM2OTlLbVY2OXJPQVNTaWFBRXJJcWNKX1RELVBHVzRtcDI3eldSd2h3Q3hGMHFZdUJqUERocXVaT0JIZmpKZmNLMW9yTUxqeWU3SHdHckxFdkJRZlNOYUxWSjJJNlpT0gGyAUFVX3lxTE11S3RRRHZRbDNnZEcwQ2NjWUtBQm82Q0Vyb0ktbDVWSnNxWEMzUTJ3WW40M19kZWhHQXA5bVJ2WE52VFdIWEZKQ1VGTHRlMUIwUDhpOUdsa2pfUkVJVEM2ODlQeHlwZjc0VXA2REdJNS13QkFXMzVXSFAxcWFmbWJjUDIxYkRkUFFuNFpTN3RfYy1oakc3Ui1jaUx0WnJsSjVNNUxqc0cwMnJYcklUSmM1OXc?oc=5</t>
  </si>
  <si>
    <t>The sentiment is 'bullish' because the launch of autonomous fracturing technology in Colorado, a major oil-producing state, suggests increased operational efficiency and potential cost savings for oil producers, which could lead to higher profitability and increased production, ultimately supporting crude oil prices.</t>
  </si>
  <si>
    <t>US Oil Drillers Continue to Back Off On Extended Price Slump - Crude Oil Prices Today | OilPrice.com</t>
  </si>
  <si>
    <t>https://news.google.com/rss/articles/CBMirAFBVV95cUxPSmU1aUdTTEJ4VnhDd08wc1BBQlZZNElXc3dRUkhPbXg3MHFNLVdfOUdKYnlmemk0LTZUeTJZUTQ0ODBUS1ZEZUdHU2xCdWJFSlZXTDJ3LUNOeTFzYXJKanJXMXJNX0FJaDZJTmNuYmNIOUZtcXIwT0pON3hXeEhtRThHdTYzRHdwYjg4ZFBFY3pqMGpkRTFMcmo0NzFKckhJREh1Vm1vLWcwTHh00gGyAUFVX3lxTE1xZmcyRlVNYmQ3NDd1VE5YWU96eWRrSS02UlA0eWhSOFNvMjhXQzU1bndsYzJRVERrenZwOVQzd25QOXdBVmNWSHpydXBMUkljQkRuNVd1THhqUzlCYzk2bkIzcms5NzNibjk5b0RWSW96aFR1Tl9iVk15SVBqUmEzU2JTYVh0eUV5MG83cHhkNGxrTEF0NzVFTFdJQjZuckVmRFV5Y2hJWS0xdGhzSm9CeEE?oc=5</t>
  </si>
  <si>
    <t>The sentiment is 'bearish' because the headline suggests that US oil drillers are reducing their activities in response to an extended price slump, implying that the current market conditions are unfavorable and may lead to further price decreases.</t>
  </si>
  <si>
    <t>Israel-Iran: Oil Market Long Numb to War Risk Confronts Weekend of Worry - Bloomberg.com</t>
  </si>
  <si>
    <t>https://news.google.com/rss/articles/CBMirwFBVV95cUxQbUZMc0w1RWJMOTlJYXdiZUlqMm5nRlI0Y3lpU1pROXVLMGx0WV9sZWd6OF9jVFlMUnRFcy1kSXVYdnVQRlc3ODZKeUExQm1zQXMtVWZYSUZtanUyN202dElacnZtX3VodmUwR0dWWjQxTldma3Nab2FpZ1FNUUxDelRJTHlvTXNVd2pJajllaWx5eXQ0ZGt1TEV5NWFRanFpMTlnbzNoYlRPa29TTF9B?oc=5</t>
  </si>
  <si>
    <t>The sentiment is 'bearish' because the headline's focus on a "weekend of worry" related to escalating geopolitical tensions between Israel and Iran implies a potential disruption to oil supplies, which could lead to higher prices and increased market volatility, thereby instilling caution and concern among investors.</t>
  </si>
  <si>
    <t>North Korea's Kim Jong Un calls for more shell production, KCNA says - Reuters</t>
  </si>
  <si>
    <t>https://news.google.com/rss/articles/CBMiuAFBVV95cUxQTFlhMUNBUEdtdzFmcHhTNDlxUlhVVnBHblQ3ajNXUjdMNmxrNkRxMGk2VGotNWJMRkxlSGxabTZKMTJqVW5TZHVOT2xzWmFpZTdRRFppY25US0JrOTJaaHBGRmxrSkplV0t0b3pTUWZaN1VWaTUtc1ZKdWZzc0t2d0VkeG1PTTBYaGNFT0pMME1aMDFnREdCS3lEMExXbEFIc0tNVHhsMGdGdWFSMm5JNkJmSEc2Z2lk?oc=5</t>
  </si>
  <si>
    <t>The sentiment is 'unrelated' because this news headline about North Korea's leader calling for more shell production has no apparent connection to the oil market, and therefore does not have any direct implications for oil prices or market trends.</t>
  </si>
  <si>
    <t>Higher Oil Is Positive for US Dollar: 3-Minute MLIV - Bloomberg.com</t>
  </si>
  <si>
    <t>https://news.google.com/rss/articles/CBMiqAFBVV95cUxPaTFjM0Nha3JCdlZfSDFxQWJRbXhmTGQyeWc3ZklneVJJMjg5ME4tWXAtcWlQMjVTaE9vdkVRTXZrZEd4c2twcktZVTF3eFNSbVFmY0swcGhwUVhlc0VNencxYTJKa3h2aTFDbkhrZUxITEw2RE5nYkFMdnhla0FRREFIbUpuYWVIdE1xSzVoOFRDbXVKRnRyWTZlWWpLYlZrRGxzdHhkYWw?oc=5</t>
  </si>
  <si>
    <t>The sentiment is 'bullish' because a higher oil price is often associated with increased inflationary pressures, which can lead to a stronger US dollar as investors seek the relative safety of the greenback in times of market uncertainty.</t>
  </si>
  <si>
    <t>Oil Tanker Market Roiled by Israeli Airstrikes Against Iran - Bloomberg.com</t>
  </si>
  <si>
    <t>https://news.google.com/rss/articles/CBMiswFBVV95cUxNb0llWHRtajE4MXNUYUZFMF9KTV82OG1jSFdHM24zczk0U3BKd09ybmJjUWNlR2tLX012ajc5MWpVVGlOeGYyNnNMcGpadlJlM1NjekJRaWZxNER0RG13QUpualJlNW91NG9OVV9GRFdOSlJ1eFpPMW5HS0ptWlFLc0dRajhhMlpPek5td2QyMmJzOXBrTFhtMC13dEdjajNPbHlsYms2YVgzMERRY1FrNVlWRQ?oc=5</t>
  </si>
  <si>
    <t>The sentiment is not 'bullish' because the headline suggests that Israeli airstrikes against Iran, a major oil producer, will likely disrupt oil supplies and increase geopolitical tensions, which could lead to higher oil prices, but a bullish sentiment typically implies a positive outlook for the market, whereas this event is more likely to create uncertainty and volatility.</t>
  </si>
  <si>
    <t>Oil Prices Surge Over 8% as Iran Retaliates With Major Missile Strike on Israel - Crude Oil Prices Today | OilPrice.com</t>
  </si>
  <si>
    <t>https://news.google.com/rss/articles/CBMizwFBVV95cUxNdnFyR25LeHBkb3I1a3YwbG1xelkwUnB4cU00Q014TkcwYXVrdlYtVXk5MXNnc0taS0toOVFrN0twSXRsOVhzbzlVVWJZeXAwemdmVUtPQjlfNFdyQVBQZS1MQXdyaFJuMUpyZDlzV3I4YWRaSFhZYnJZMmNSLVVhNkZLTEp1MURnNG5zeEt2LTZVUGNISFA3R1Bjc0szZUZEdmdtR3g1aXo4NWZkQ0dnZWlHS08xR2ZZeUpUVjhRS0tFMlhQU3hQaHVXdy1tdnPSAdQBQVVfeXFMTWxXYzVjQlVBTEJseWNueERPbzlldklxTFZVbS1vVTZFa283VllyMTAtbU00MFdsOFZZc1JwX05sTTFqQThkaEFac0FGbm9QTFczYUE0UVNIRlkyek03M1l2Uzhra041WUt0VGQ2ZUx2YnlfZUhmd1kydlJYUnZxSHplcERtVTFNWnlDYVpvU0FrT3gzMTVVTFFfb2FkeVpMYVFDazg4a1ZxNnlJVWI5WW9nNDNxRU5HNTh5S0U4NDk4MDhnd1pJTTU5QnVKd2tnb0l2QlU?oc=5</t>
  </si>
  <si>
    <t>The sentiment is 'bullish' because a major missile strike on Israel by Iran is likely to disrupt oil supplies and spark concerns about regional instability, driving up oil prices.</t>
  </si>
  <si>
    <t>What Next After Israel's Surprise Assault on Iran - Crude Oil Prices Today | OilPrice.com</t>
  </si>
  <si>
    <t>https://news.google.com/rss/articles/CBMinAFBVV95cUxNUnlDS2NWQjA3WDdEWV92eHdTM0JqQ2tWM3hEc2pPMEFkQUFDUE9nenJYX2JkZHBxeDc5WnFxQlVqa3ZFc2l0RF9FVXhrbE5QRWVQOEFUUEtCalpFbEZGcmhxTFJxZTZIcXhDajZEM0YyQlhfQnZaWVk1YlRMRTRMTV9Ub1JIVERvTjVBYjJKejVhNlEtbnQ4MHptbUzSAaIBQVVfeXFMTmVXNG9hX3dTcjlneU9yODE4dkU5VmZmWFRFOFNhZjhLUnVrVW9hMlgtM3hZVC1oaXpSWkE0X1dxLWNfR1VpRXB0WXNHSTBTRWFlbHUtVkZWNlRDb095clJVOGIzSEZHMEdjSHVNbnJmeHc1Y1lGVlZxV0pBVmFVRkkzN3g5RGktMGRadm5TTjFaei1RN3MzbENzQVRrcjZaaUlR?oc=5</t>
  </si>
  <si>
    <t>The sentiment is 'bullish' because a surprise assault on Iran, a major oil producer, could lead to supply disruptions and heightened geopolitical tensions, which would drive up crude oil prices.</t>
  </si>
  <si>
    <t>Wall Streetâ€™s Momentum Machine Faces a Middle East Stress Test - Bloomberg.com</t>
  </si>
  <si>
    <t>https://news.google.com/rss/articles/CBMiswFBVV95cUxQNGtaUjFObHp6MUlCcThNT1ZpMXFxZFBSSk1GMDB1R0J1LXFnLUlVZjlfYlJWbGxGYVlmZk1qeFJ3U3piZDU5SllRdXltaXZWVjhyRHRpUkRzblB1LXVNY3FBRk00QmFSd3JFZjhIQ056b2VTUkRGSEc3VzJjWVBEa2p0OFR3c3dhbF9oaWIxblE2eldFSHBoLUZVTGRBTlBycUFGYUVpeG50WVB0RExlVmxRUQ?oc=5</t>
  </si>
  <si>
    <t>The sentiment is 'bearish' because geopolitical tensions in the Middle East, a crucial oil-producing region, often lead to supply disruptions and price volatility, which can negatively impact investor sentiment and put downward pressure on equities and other risk assets.</t>
  </si>
  <si>
    <t>Oil Extends Gains on Reports of Airstrikes in Iran - Bloomberg.com</t>
  </si>
  <si>
    <t>https://news.google.com/rss/articles/CBMiowFBVV95cUxOYXRIUENzRUlyd1FFc09NMWdYUV9iOFJVVHV6YnNZaXoxSEJEMXEyYno4RjNSQjZXTzMwdkFoNEthZE5BOWc1UVlaM2hYWlRNcW9Td0J5MHFYbTBQMVVzMnA3LUxuX082OHo1LTdHUVkxY05lenVlMGprM3AzNWpJN00yRXpaVlFVNDl5Z01NNkhVVFM2Y1doMWgxak5zb0lRdlk0?oc=5</t>
  </si>
  <si>
    <t>The sentiment is 'bullish' because the airstrikes in Iran are likely to disrupt oil supplies, leading to concerns about potential shortages and upward pressure on oil prices.</t>
  </si>
  <si>
    <t>New AI Technology Aims to Revolutionize Battery Recycling - Crude Oil Prices Today | OilPrice.com</t>
  </si>
  <si>
    <t>https://news.google.com/rss/articles/CBMiqAFBVV95cUxPelZlRENuSUhqVXlJS3dGQ3huTG1UR0JTb05LZFdhaTluYllPa0tkZFFjV2lJY0lJaGo0X0FsMlJ1cUxXNXpiSkJkWm5zRnppS2lIQS16WGlKVFpwMkxIdjB6bjV6Q2NDWU1hei1PXzVEVTNNMjlQN25aWkJBX0E4cWVfUXZWNnNLZVlCcXByZVJveDFuQWJKdDA4Yy1wVlJ4ZllNdEFNSnLSAa4BQVVfeXFMT2pDcXRLbkMtcnNiemQ1RmtEdmFDY3pQNHVvWk42LWxIcExBT1FSV3I2MWVZQjdLVXFtMUFUeS1Zc011a044VWpudERXYnJDS21pN2FWc0txRVJ3bWFnVXZFM0lSd1A2emFpMHpUNUxBN0NQc1JZRTJJQURENFFNYWpnX1JlVnRzM2lPRGJTZkVYdThoOHBET2lWMVVnVmVoUFBfNXM0eUJ4Y3JsVjl3?oc=5</t>
  </si>
  <si>
    <t>The sentiment is 'unrelated' because the headline appears to combine two separate topics, AI technology for battery recycling and crude oil prices, which may not have a direct connection, suggesting that the article is either a collection of unrelated news briefs or the author is making a novel connection between the two topics that is not immediately apparent.</t>
  </si>
  <si>
    <t>Stocks slump, oil prices surge after Israel attacks Iran - Reuters</t>
  </si>
  <si>
    <t>https://news.google.com/rss/articles/CBMif0FVX3lxTE0tWUVNcTlxbXFnYlFvdEtwS1R4X2hHUTlSVHBJTDFJZzQtcFlscnBrWkI0bF9xVEdZdTQ5T1FMQkZTeXBzOGxwSS1wbGlGbmd1S19LNzlfdGVaUHZUOWdBYWhSajA5MDdjREdkUDg3cWxFZ1BFSlRZNEVxNHlIeFE?oc=5</t>
  </si>
  <si>
    <t>The sentiment is not 'bullish' because a surge in oil prices is typically considered bearish for the stock market, as higher energy costs can lead to inflation and reduced consumer spending, which would likely negatively impact stock prices.</t>
  </si>
  <si>
    <t>Oil Surge Is Latest Headwind for Tariff-Rattled Global Economy - Bloomberg.com</t>
  </si>
  <si>
    <t>https://news.google.com/rss/articles/CBMiswFBVV95cUxQY3BQY2VaekEzMkJpdlpNTUFkRFdXTTdiTGtRUVdrZmpSdkVsZVhnam1vQk9ySEJlVC0xal93VWpwR2wzYnZHYm9DUUQ4MkVGQUpMTV9vMVBnNUF3U2ZJVGxPUDRBMnlSazRQblNuM0VaZFpyLUpzUmVNbFZPbnF5elUtM204M0VzM3RrYzM4YkpqWHJ5NHpieVJidjBGM1hSdmp6WkZlRksySXdRWUxTdlVJZw?oc=5</t>
  </si>
  <si>
    <t>The sentiment is 'bearish' because a surge in oil prices is often seen as a negative development for the global economy, as it can lead to higher inflation, reduced consumer spending, and slower economic growth, which can exacerbate the already uncertain economic outlook clouded by tariffs.</t>
  </si>
  <si>
    <t>Trading Day: War fears crush confidence - Reuters</t>
  </si>
  <si>
    <t>https://news.google.com/rss/articles/CBMiogFBVV95cUxPcnpqLXNpQS1fQ0pwVGV5OUtvMnFCelZoRTBDUGJxOGpxbHRMcW9VTHhSQ0VvajlpdDVfU25YdENQR0EyUk9JblB0eldxYkhINmNtWWQzWV9xQkNhNXA2TVlQQmpzRUdIUk5EU3pPQW91MVVpU1E5aVdkQ3drX0VRa09sckdYbkFiYk1aOUg2SEM1VERIOGdIZmpFSW5fOXBQUEE?oc=5</t>
  </si>
  <si>
    <t>The sentiment is 'bearish' because the mention of "war fears" is likely to suggest a surge in geopolitical risk, which typically leads to increased volatility and downward pressure on financial markets, including oil prices.</t>
  </si>
  <si>
    <t>UK Firm Energean Halts Offshore Israel Production After Strikes on Iran - Crude Oil Prices Today | OilPrice.com</t>
  </si>
  <si>
    <t>https://news.google.com/rss/articles/CBMixgFBVV95cUxNal80ZjY5NmM1U3pUSjV6NWVqcG9SOFFFX3hJN0t2ckxIcTBmN3pUM3JxOFVBc0Y3ZWRZRmZVWEJOWm5kUlFNWU03eE1aSDJCX2pWaXgzMEI0VDZ3UlMza3FzbF9MT2pjVWJTTDQ4MXAzTVlGOWNRNnlQcm8zVlU5eTQ3SVJwZjFUY1JNaW1jejExbDhTWmdYOFhkamgzUW9ySS1FTi1JLWZRZWlUVnVXMDdpTmttM3J3Tkw2Um0weWNla2JrU0HSAcsBQVVfeXFMTWVsWkRva0lrN0h5RUxCemlkX3g2TVJ5NzdpNWFyajdCYUkybU1zUjdVeVdab0ozWkhZSzNWMncyMFduU0pMTnA1X2pYLVhrcF9RQmttYjlkdHpITlgyUU1MZ2ptbFY5cnZnSGFQWElBWkRFbDh5RGV0ekZTUDVPY3RyeEFFdWduNVhxVzRyLUtCREszc25Ub0FqYVBwRmREdjJNcHVZTWpWdDNZd2ViaXRrMDVjR3NrTXJQNkFQX2I4Y1FERFp2VkVkUWM?oc=5</t>
  </si>
  <si>
    <t>The sentiment is 'bullish' because the halt in production in Israel, combined with the escalating tensions in the region following strikes on Iran, is likely to lead to supply disruptions and increased uncertainty, which could drive up crude oil prices.</t>
  </si>
  <si>
    <t>Diesel most exposed to Middle East conflict, US futures surge 8% - Reuters</t>
  </si>
  <si>
    <t>https://news.google.com/rss/articles/CBMisAFBVV95cUxPUjhXUHJ2aThWZDJwcjcxZDFTVmo3R1BncEJhQloxcG8xUWs2YnNYWTZyVWQ1UllIUHd2NFllMXZLVm5UMDdJeDVWeXlxTHBvZGs0NjJCWUxBVTRlUklTZFpfbVZnWUpEZURaQkxBeEVxMXpEWGlQSVRVVmlYdjVtNWdMdW5SQ3JoUHZpSkVaZC1pZHpEOHZ2QzMxb2lMSy04Z0RONkJnMTF4VnhEcElCYw?oc=5</t>
  </si>
  <si>
    <t>The sentiment is 'bullish' because the surge in US futures prices by 8% indicates a strong upward momentum in the market, driven by concerns over potential supply disruptions due to the Middle East conflict, which benefits diesel and other oil products.</t>
  </si>
  <si>
    <t>High oil prices due to Israeli strikes on Iran would hurt German economy, DIW says - Reuters</t>
  </si>
  <si>
    <t>https://news.google.com/rss/articles/CBMiqgFBVV95cUxPb0lFZ2htM001U2V0RFVDSTRESkRfOGxabF9sN3lZZ0lmdnlPd3o4STdnUUhrNzhlcDljZWZDbTNWQVY0dnZhRkMtak5sXzN2NlI5NmhXZDNXU1ozTDdoeHEybWFpSGgxdDRRM2stWlpHR2tfOG9qd3lKR3Rkckg3eFBNWWVUZi15QnZobWpBa19BN0QzcE4zdVhGYm1YVEI5VEtkTmRETkhIUQ?oc=5</t>
  </si>
  <si>
    <t>The sentiment is 'bearish' because the headline implies that a potential increase in oil prices due to Israeli strikes on Iran would have a negative impact on the German economy, which is a significant consumer of oil, suggesting downside risks to economic growth and potentially weighing on financial markets.</t>
  </si>
  <si>
    <t>CBOT corn ends higher, led by soybeans, crude oil - TradingView</t>
  </si>
  <si>
    <t>https://news.google.com/rss/articles/CBMiuAFBVV95cUxNMXNKLVJ4ZFJ2RWt2N3BTRmoyVFVmZnlTMzJkS2VsdDhrNUlYV3pyaEZEcmlxNUpWOGVUM2ZTZkFjRzN2UFV4alBibkpRVTc0ZlA2bjBNRFhjekg2Y2YwYS1POElUN2s1dWhhS0tkbFV6TDh3NmJ6UFlzczNjdXhRWUk3Vjk5Vm1Qa2h2MkF1Q1d0Ync2Y2J0X2RDV09qUWZhdTRXMjA2RDIwYVhYNnlfQ3E3X0JnN05C?oc=5</t>
  </si>
  <si>
    <t>The sentiment is 'bullish' because the headline suggests that corn prices are rising, led by gains in soybeans and crude oil, indicating a positive trend in the commodity markets.</t>
  </si>
  <si>
    <t>China's LNG Imports Set for Rare Decline in 2025 - Crude Oil Prices Today | OilPrice.com</t>
  </si>
  <si>
    <t>https://news.google.com/rss/articles/CBMipgFBVV95cUxPcVVKT01ZdW1WdWtaUXl5SjZtekEydVd4MGhxdWJuQjN6VzNKbVFSamJRUHZEcVpWclhxVFZqX1VISUFHeHRtOFdaa2lUdlFlSmhnb0lidFJHTlRnSS1scXJYTTBfTzdMYU0yb2RVVFh2aTRIcm5LOEtKNHhJZGh4Z2hxQm54U25mU0N6YzlVRE5valk2Y0NnWEo5NzRSejNLbmc0U3NR0gGrAUFVX3lxTE9FMHhmN2RvZUNZd1JocUNHRHQtNzNheUtHV253T2JBai1VU1dvaERaS01pOWVvdW5nOWZBY3VFTmdHYk56bUk0YUE5REFMUXB5ODdlTGVQTVlNNXh2QUowRS12ZGZyaThOVW5DRnNibUFUcndNNlc4TEJMWWNod1VjM295bUswNFdXRE9WR1RfVTJ2STJib0NpakVpaUJxU2Z3aEUtN053TnJtSQ?oc=5</t>
  </si>
  <si>
    <t>The sentiment is 'bearish' because a decline in China's LNG imports suggests weaker demand for energy, which could lead to a surplus in the global market and put downward pressure on oil prices.</t>
  </si>
  <si>
    <t>Iran Says No Damage to Oil Facilities From Israeli Strikes - Crude Oil Prices Today | OilPrice.com</t>
  </si>
  <si>
    <t>https://news.google.com/rss/articles/CBMitAFBVV95cUxNUnZlZFQ2RWVUUHZhT0N5N0NXN1E1ekh1UDFNU1BLX0pHQnZicnNBdy03QTN2V0dacG1nTlhYTDBNMHJrdE4zZzJ1MzRmeVo5OEQ1WmNqOTRNdFNOTjcwZHYxYy1JcUZRUGVEbWZsWUVjMHZqU2RwLVZhbllWSG1qVlgwWGFzNEhFSXh4Z1lkaDkxS0pOSDZ4V1F0WDdRLTFrTU4zLVBQTm5STlU2TWRPU1pQMWjSAboBQVVfeXFMTlVTVWhReUJkb1EwYURpMl9JNndrdUZQWlYyczFRUDNLc0VWTVlTaUFfQ0hUOGQ3VXUwbG1JendBbTlYWmU5MnFIcHRhN3g1NzlNcDR5S3gxeHFMX3VBUm1MblVSQXVUUEphR2ZFRy1RTVphV3RfVlZ6NXMzNTdhMGFSSXFrVlVlTi1CWlVPTDgxRFU0ZDBqMjVqZW5wTmY0WUROQk80dTB5U1ZfTzZhTXJNMGxPbWszSXFR?oc=5</t>
  </si>
  <si>
    <t>The sentiment is 'bullish' because the news that Iran reported no damage to its oil facilities from Israeli strikes suggests that the risk of supply disruptions is lower than feared, which could lead to a decrease in oil prices, a bullish signal for the market.</t>
  </si>
  <si>
    <t>What the Israel-Iran Conflict Means for Oil Output and Prices - Bloomberg.com</t>
  </si>
  <si>
    <t>https://news.google.com/rss/articles/CBMirgFBVV95cUxQM3RYV203VmthZWFfS1VmVXpWUmlPM1lXWEczTlc5TVhBRHU0cGc2VTEwd3QxRTZhYmMyNmRPOFU4UGlCVlpqWVdvSlJNOF9PdEJuS2l3TzZJQmNyZmtHc1RTUktITWV0RWZrdDhfVEtMRkNLX0tjb1p1TFZpTG1LNW40bzRicDY0ZWhueVVKNUNoLW9kazI2R2lHaUZwU0lERWNpeGtua3QyNzFsM3c?oc=5</t>
  </si>
  <si>
    <t>The sentiment is not 'bullish' because a conflict between Israel and Iran would likely disrupt oil supplies from the Middle East, leading to higher prices and volatility, rather than being a positive development for the oil market.</t>
  </si>
  <si>
    <t>Stocks Slip, Oil Rallies as Traders Weigh Fallout: Markets Wrap - Bloomberg.com</t>
  </si>
  <si>
    <t>https://news.google.com/rss/articles/CBMilAFBVV95cUxQMFFoY0J4eFV4c0dMbnBXVGFWYlIxeThTY1p3UHFIcnVxcV9OTVBnVmIzbFpzV1NVa3RPdEVOQnE2bU9CMy1zWjRZbmgxNjlENEI4MUhBLXBubWx0RWR2S1djQkhZWS1JUk9UUUZVU1ZDd0hVdHlsUHVJaWNBSFpzd3dWcEs2VXNPdURrQjZBNGFSMmVl?oc=5</t>
  </si>
  <si>
    <t>The sentiment is not 'bullish' because the headline highlights a mixed market performance, with stocks slipping, which indicates bearish sentiment, while oil rallying, which is bullish, making the overall sentiment more neutral than purely bullish.</t>
  </si>
  <si>
    <t>IEA says it stands ready to tap emergency oil stocks, OPEC sees no need - Reuters</t>
  </si>
  <si>
    <t>https://news.google.com/rss/articles/CBMiuwFBVV95cUxNTjBuU0JyODc0dXVpckJZMGVnZEFKZWVFR3V3MWZJMHpzMnZybjkwUzBNT0FmTEVnNGN3Q0FzSWd6NVFkVm9VVWswS3c0RXg4M3RQYVlKcWJjc0Jicmx5UFAyam1sbWVzdVVmLUcyN2hybGk3c05HcE9pbEwyUTlDdkgtNnhIMHlQWjV6bjlEaHZUMkJmY0FLcVpIeENFelhrYzlkR0pDcHZGZVJOb1ZiZUh3WFN6VlAtMWFv?oc=5</t>
  </si>
  <si>
    <t>The sentiment is 'bearish' because the International Energy Agency's (IEA) willingness to tap emergency oil stocks suggests that the market is facing a supply shortage or prices are rising too quickly, which could lead to downward pressure on oil prices.</t>
  </si>
  <si>
    <t>Israel strike puts all eyes on Hormuz and $100 oil - Reuters</t>
  </si>
  <si>
    <t>https://news.google.com/rss/articles/CBMiqAFBVV95cUxObnJIaWZkVHpkVUQ4dzlqLWU2cnoyQ3dYNEdFTzk2cDFEVkVKMnhaTzltSTlGaHVjM2dtZE96cTJ3UmkwME04TjRQeEgzUUwxT3ZHdXlTWjBIelA2LTM4RllyMVlaTk45ejlWbUJyWWRRUi05Z25CQXkxOU5WeXJFc2tFaTZPTFNXY1F4U3NQcXZ0bjVhd0V3RUZjcF94akFRZGUzZ19NQW8?oc=5</t>
  </si>
  <si>
    <t>The sentiment is 'bullish' because the headline suggests that a supply disruption in the Strait of Hormuz, a critical oil chokepoint, could lead to a surge in oil prices to $100, which would be a significant increase from current levels, implying a strong upward pressure on oil prices.</t>
  </si>
  <si>
    <t>Global airline, travel stocks slide as Israel strikes Iran - Reuters</t>
  </si>
  <si>
    <t>https://news.google.com/rss/articles/CBMinwFBVV95cUxOTnJlZUlPcFpQRVV0SHo4WGQtTnNCbDgxNkpVNnlDWTRGUVdhT3VvUDc0QW9tUUowZmFvaGt6ZkV1TVVKUExYdGg4aFlwS0p3R1JFcVM2dzRzRTU4Q2cycUlkUjdKSXBJNUtXSGZDa2NXRXFyQlJHdzVMS2JOc0p2dFA1bE9XRWNjMnl5ZHRzOThTLWgwNnhuWW5OeFV0a2M?oc=5</t>
  </si>
  <si>
    <t>The sentiment is 'bearish' because a military escalation between Israel and Iran could disrupt oil supplies from the Middle East, leading to higher oil prices and increased uncertainty, which would negatively impact airline and travel stocks.</t>
  </si>
  <si>
    <t>Watch Martin Wiggen: Risk of Israel-Iran Conflict Escalating, Oil Price Spiking - Bloomberg.com</t>
  </si>
  <si>
    <t>https://news.google.com/rss/articles/CBMirAFBVV95cUxOSUpBeTFLdGt3RHBwRlB3TkpPQlhJYXdhRHF2empwYXUwbmNyUWJkUUlGOGw1QzBpcWhhZkFXVENfTVd6d3NvQ3JfMTlUb0FpLUVtM0s0dHU1QUZmQlU1cUNjR3pfQjVkR2pmSS02WldCSVVLd0hMNXhIT1hFNmlDdnE4WXJNOXJyTnEtWDZfMFhfMWxQc29LaGtlMXJhd1hDY2FtVGxHWVF3blZV?oc=5</t>
  </si>
  <si>
    <t>The sentiment is 'bullish' because the potential for conflict between Israel and Iran could lead to disruptions in oil supply, which would drive up oil prices, benefiting oil producers and investors who are long on oil.</t>
  </si>
  <si>
    <t>Indonesia Scraps Plan to Send Delegation to US for Tariff Talks - Bloomberg.com</t>
  </si>
  <si>
    <t>https://news.google.com/rss/articles/CBMitAFBVV95cUxOTnJBX25KaGdrLVNRWGFNT1laRVhCR21od3FjQWctOXozT19DWlh0ejJfZy1xVVhQOGF3cWNKekE5WmhFZ2pVbDlCZ1EtYVh3NkRiQjhiVWxrVi1vU1pvcGpVQlBoMXdTTVpMMXZSZTZUWkJ2em1vbFIzQVRudEJGa2RmWERXQXZkblplSFVOc0hsWHl3cXZUdnJPTXhNcjFGUHlWQkItd3BXQjVnYWo5WnNQUlA?oc=5</t>
  </si>
  <si>
    <t>The sentiment is 'bearish' because the cancellation of tariff talks between Indonesia and the US may lead to increased trade tensions, potentially disrupting global trade flows and ultimately affecting commodity markets, including oil.</t>
  </si>
  <si>
    <t>US natgas prices climb 3% on soaring oil futures after Israel strikes Iran - Reuters</t>
  </si>
  <si>
    <t>https://news.google.com/rss/articles/CBMivwFBVV95cUxQZXFQR0hUWU4wRVdXSU5ZZXRMYTFIamlrVXBteDF1OEdDa0FXSVlIcDhpT0psVVE1TjRmUS1HMVVEa1hjTDUxN1gydnFDSG5fT3I0bWpneEtVMnRyV0FwV1NoeEtBdllDa1BRZ2NIT0I4aGJaZ0tNdzI2ZnVETmp5aHpwLXZLMXRJMEFJVHhjZTRoV0t0M0ZZX3hDdEdlZ3I1UjBGV0NXcS1xUVFaVHk4U1RCZGpaTUFWYXY4dTlTVQ?oc=5</t>
  </si>
  <si>
    <t>The sentiment is 'bullish' because the headline suggests that natural gas prices are increasing due to rising oil futures, which is a positive indicator for energy prices and a sign of growing demand or supply concerns.</t>
  </si>
  <si>
    <t>An Israel-Iran War May Not Rattle the Oil Market - Bloomberg.com</t>
  </si>
  <si>
    <t>https://news.google.com/rss/articles/CBMipAFBVV95cUxOdDQ1bEw5M0tEOF9ybmV6T1VPYjJBTk91amR3SDU1SVNwU182RlJsZndwYS1td2hHaEpIQkc3Mmtld3pHUG1oUUl1ZXM0QXRhdFVsaU9KS29YWTZiMFd6WjFtNGhObUEydnd6dzVZSHRuNk4wUUVMYS1rUUg0cEFwajRPOV9ib1UwcmJENXFOYjRnZTdVLUNoNkttVjNacVFvalEwNA?oc=5</t>
  </si>
  <si>
    <t>The sentiment is 'bullish' because a war between Israel and Iran would typically be expected to disrupt oil supplies and drive up prices, but the headline suggests that this may not be the case, implying that the oil market is more resilient than expected and prices may not rise as much as feared.</t>
  </si>
  <si>
    <t>Israelâ€™s Attack on Iran Stokes Fears of a Wider War - Bloomberg.com</t>
  </si>
  <si>
    <t>https://news.google.com/rss/articles/CBMiqAFBVV95cUxPbkNoSG1TX3ZJRmdpM29QSThzT0NWZlZpQ3IyeF9YamJ6b1Q1R2ZpOTB3Nm1aR0xpWXZVSFJvdHpWUmlIWHNNSjZYQnZud1JSOXRPZU5UTU5VRjk2cmxuNEZjY0lTS3ZXblNHNFVRWmFyU2pYYzNrckdxejJWZGViMTVHbkFGdWpkcXVVQ1ZZblB4Y0Y0cl9aUnI1MDRsNmZoRWN4bzU2YWQ?oc=5</t>
  </si>
  <si>
    <t>The sentiment is not 'bullish' because a wider war in the Middle East would likely lead to a significant increase in oil prices due to concerns about supply disruptions, which would be bearish for the global economy and potentially lead to a downturn, not a bullish market sentiment.</t>
  </si>
  <si>
    <t>Israel-Iran strikes: Analyst reactions to stock selloff, oil surge - Reuters</t>
  </si>
  <si>
    <t>https://news.google.com/rss/articles/CBMinwFBVV95cUxQR0ptcHQwRW96Qm1MTGxYaGh2elNlNzJZVWJyNnZjN3ppZnZQUzIydzAzNHBDanAzaHJ3THRkUmhhWjRCU1JWS3hVOWdBNENPaVRQOFlIa3NwMFV0UmMzQXVDMFVsbDhONndPT2ZNZkVPR2tFVzhsUEFveGdtZERhTXdsN1lCRWVEbnJfSTRMMkRwOWxnczVUM2ZQc2ZJbGc?oc=5</t>
  </si>
  <si>
    <t>The sentiment is not 'bullish' because a headline mentioning "stock selloff" and "strikes" implies a sense of uncertainty and geopolitical tension, which is typically associated with bearish market sentiments, not bullish.</t>
  </si>
  <si>
    <t>Hedge Funds Ramped Up Bullish Oil Bets Ahead of Israelâ€™s Attack - Bloomberg.com</t>
  </si>
  <si>
    <t>https://news.google.com/rss/articles/CBMitAFBVV95cUxPU0Z5ekhXQ1ZvODYtY1ZtQzFqa1NLN1dXOHR1clhyOTFEQnFlN244RHc0YTJTTEduZEtGTjJlNXNBTEJnTmVsOHhXQ2I2dEFJcU1UOXgzR3lYR2VIWG9pYk1TT2F1eEozaXVLQl9PRk0wSHBtSFJqWnBCQUV6ckUtRnhkZ0pTLUZpNTMtVVI1LU1XRXNEWEFLdUZVU3dPOFR3ZXpwdFZ5eDNVMnc4Z0RYWUZkY1g?oc=5</t>
  </si>
  <si>
    <t>The sentiment is 'bullish' because hedge funds increasing their bullish bets on oil ahead of a geopolitical event like Israel's attack suggests that they expect oil prices to rise as a result of the potential disruption to global oil supplies.</t>
  </si>
  <si>
    <t>Airstrikes in Iran Focus Oil Eyes on the Strait of Hormuz - Bloomberg.com</t>
  </si>
  <si>
    <t>https://news.google.com/rss/articles/CBMiyAFBVV95cUxOVVhmZE02OEtyNVM4WC1JNkFfYnFEYmdqWkJVVFhuMUFFbWRNamEwTkU0R1FCU2RCbVduR2c1ejgwZU9sM3paZklSb2hLODM1NTM3Z0p6cXlXRnZwSXlhNmk0LWNnd01vUEF4bGUyZHhoSWdlQnBDZTZRNk9Ya3dxNGhwYzVhWnJDWXJnaUw1UElNMU5SUnl5UEhiX2M4UEk3eU55aTBKOEoxakpaY2syUFdTVVhYelMtUFdIb3IzWE1Nd2xaRV9GUw?oc=5</t>
  </si>
  <si>
    <t>The sentiment is 'bullish' because any escalation of tensions in the Strait of Hormuz, a critical oil chokepoint, is likely to lead to concerns about potential supply disruptions, which would drive oil prices higher.</t>
  </si>
  <si>
    <t>Morning Bid: Israel strike hits crude market - Reuters</t>
  </si>
  <si>
    <t>https://news.google.com/rss/articles/CBMiggFBVV95cUxQVGZjUGhHZDVSQy1DUHpTUF9FLVN0dF8wWFgzc2NVZ2VST01EeGE5cHIwakVyRDlrV3Yyb3FEQ3R1VkZrQk5ma05JcWcxdlg4MDRGNzVicGwxWUJGV2V0WnlRdUM3Z2l3cTNKNmpYWkIzVVNZN21JRzQ2ZEx2eUpGalR3?oc=5</t>
  </si>
  <si>
    <t>The sentiment is not 'bullish' because an Israeli strike would typically disrupt oil supplies and drive prices higher, which would be a bearish, not bullish, factor for the crude market.</t>
  </si>
  <si>
    <t>EU to Require EU Firms to Disclose Details of Russian Gas Contracts - Crude Oil Prices Today | OilPrice.com</t>
  </si>
  <si>
    <t>https://news.google.com/rss/articles/CBMiwAFBVV95cUxOYlVPd2JualMwSUtBRjlyQWpLMEFKN041eHVrRG41MGtiX3hFXzl3djZiSklMWGdobTNQbGlkRkI5bl9yekNQVWFDTlpzcXd3ZDZmVkVJTG9xb2FzR05jMnRVS3hRV3lSaUZSVlJNSkpGc0V1QVA5ME9XaVpJV0pmMHk1eGRoOVR6T2RQakhVX2hGTTJHRUk5ZzF1dHJtUGtJRFpRaFY0c0l0bXlMVExqRkcyLTljSkZCc2ZPdnhJRTTSAcYBQVVfeXFMTkFNWU1LNDcxX0U5LXFSWGZtbTE3dy1sZVVxeEpwN3VyeDBhQk03bE9wNzZqb2ExQWtMRExMSkNwaUJwZTg1M0NzdW5DbXIxeDN1R2ZHeVN2R2pBQ3NKWGlRYnZMaG5nUE1IZWFidXNlT0s3OXdpMXFoVGlZS1hzZWR3Q0laeU9mRnA4cG90N1dFZENVUWhWMklydERUZ0YtblR4QmYyNmFCTktRbDlEODh4aHktRWdPNkdNTE8tTk1QY3Y4Y0dn?oc=5</t>
  </si>
  <si>
    <t>The sentiment is 'bullish' because the EU's move to require EU firms to disclose details of Russian gas contracts increases transparency and potentially exposes any unfair market practices, which could ultimately lead to a more competitive market and higher crude oil prices.</t>
  </si>
  <si>
    <t>Global EV sales rise in May as China hits 2025 peak -Rho Motion - Reuters</t>
  </si>
  <si>
    <t>https://news.google.com/rss/articles/CBMivwFBVV95cUxNd1pwaVcwOGI4bG83RnA1RFFacnI3cG5nTS1nZW4tVDdqY2hVVDY5T1VlNjNKT2hiei1TUmd4QVp3NGRobU1vMm1vVjhDNVJxRDV1bFViU2NtRFZORmRPbWlFMW9XdzJlUmxCY0t0dHVNc3htRU5JV3dseWJSSXZERHU0T0hEbWZEc29Gc1VtYVV4YlhCOE9fVUtFVWt3ZUctWDdTNjB5XzJaZGdQYkpHWTV0QVIzbFlVYzFPVFhQVQ?oc=5</t>
  </si>
  <si>
    <t>The sentiment is 'bearish' because the rapid growth of electric vehicle (EV) sales in China, which is a significant oil-consuming country, threatens to erode oil demand and potentially disrupt the global oil market.</t>
  </si>
  <si>
    <t>Trump Tariff Chaos Weighs on Trade With UK - Crude Oil Prices Today | OilPrice.com</t>
  </si>
  <si>
    <t>https://news.google.com/rss/articles/CBMimgFBVV95cUxPOEpMRUlNREVfSkJubVptUlBvVjE2NFhJdkRXcG5EQm1PY29YUFJJU3FBUEI3dXlQSlB4b0xoYVpyNjJCWTBQdGVpWkxhMVlSTTd3THhZVTZIMUNpSTRaNmp5X3h3R2c0Z3RudUtiVzROSE5sR013V2t1R25SUUlXNWpwWkE0OUh5V1J4N3hCcl9DM3Y1X2hUc1ZR0gGfAUFVX3lxTE5tcmhVcmREa2h2QWRseE5sRkpvSFJvdHVwcUdEQ2llcW1QUkViQzBsbndiX2tmc2NqOHREZktCNHI1bExDa3B1bXFUV1hyTHpvWF9yWUJQUm5ncUVYLUpWQlp3M3doN0FvQm9LaFJBMHM5QWdaemc5bUc4QngxbmxfOEZ3WGtTakpXRVRMdk1LNlpFT3RTRm5zbk5YR1VGYw?oc=5</t>
  </si>
  <si>
    <t>The sentiment is 'bearish' because the mention of "Trump Tariff Chaos" implies market uncertainty and potential disruptions to global trade, which could lead to decreased demand and downward pressure on crude oil prices.</t>
  </si>
  <si>
    <t>Oil Slips as Traders Take Stock of Tensions in the Middle East - Bloomberg.com</t>
  </si>
  <si>
    <t>https://news.google.com/rss/articles/CBMinwFBVV95cUxQTXFGSmhHSEx2dDVraGdSc0dFLTQtTk80bmVxbDRkRERpQzExcXJYbnJBS2p5aDMyNTNURmIxTzU3Vm10RjkzWjBUQWVheHdKVlAwajEzTHRfemJqdlNBX3ptV0YxV1Vra2ZmUnlVM3Nyc2JybzVVZ1ZBTFh1aW9lckVlR1BZd1JRVFNzSXRQRTU5YUQ2bVBHZlYyN05JUTg?oc=5</t>
  </si>
  <si>
    <t>The sentiment is 'bearish' because the headline suggests that tensions in the Middle East, which typically support oil prices, are being overshadowed by other factors that are driving oil prices downward, implying a negative outlook for the market.</t>
  </si>
  <si>
    <t>Automotive Industry Faces Supply Chain Turmoil - Crude Oil Prices Today | OilPrice.com</t>
  </si>
  <si>
    <t>https://news.google.com/rss/articles/CBMimgFBVV95cUxOUGN6M2VvbWNGRmhOT2drNXUybFFlS3I0MThJUlRiYmw3WXhUNVIxVlJ1WnRSMUxLUDdkUlJUYmJadHV4WmZSTTFYTV9tSm5QS1pVTzlHMjc2Tm5temxFVkd1bS1sZWdOT045VElDUGZGSlpXR2lhY29ILUNTU2l3UjFQVTNnazRBQ0VybHVjMng2cHJ5a3Q3WDRn0gGfAUFVX3lxTFB4TXZPM0pselhPelN1NmZKbEJGVHc2UFZUaldvT2dTXzdicFlMYmtQby1HWUxRSEE2ekJGOWtsd3dRNm54NFVMRTFnaDVRZG8zb0lWM00zZTBNUDNObE5KUzU0bWxQTlVjR1Q5SUMwcGlzRGZFa0ZaRHkzTy04ZnlEQ284VXZlNXBXa1JMVlUyRTVZSF8yY1BEN1hiblhZaw?oc=5</t>
  </si>
  <si>
    <t>The sentiment is 'bearish' because the phrase "Supply Chain Turmoil" implies disruptions and potential reductions in production, which could lead to decreased demand for crude oil and subsequently lower prices.</t>
  </si>
  <si>
    <t>Oil settles lower as traders gauge Middle East tensions - Reuters</t>
  </si>
  <si>
    <t>https://news.google.com/rss/articles/CBMiqAFBVV95cUxQT0RrRnZ0QmRuczNVRnEtWG5ZaW1QNjRZeTdUWVJGcHRjeEtkQlRTWlRFMG9SbFJPX01fOVdpT3RGelFMWUdxMGh5d3ZpV0IxNzV2QjZ3eWd2elpQd0ZtMHMwTWJvbTRpZkd4Z09wVVhqeDRqYUR0bUFyMGd4dFQyUnU0cmdtakxjM2JycUttTVpDZi15NGFLdHBhdkc5a0x2Z2xqeXZpN2k?oc=5</t>
  </si>
  <si>
    <t>The sentiment is 'bearish' because the headline implies that oil prices are decreasing due to traders' assessment of Middle East tensions, which suggests that market participants are not pricing in a significant risk premium despite the ongoing geopolitical uncertainty.</t>
  </si>
  <si>
    <t>Tesla to take Japan virtual power plant business nationwide, Nikkei reports - Reuters</t>
  </si>
  <si>
    <t>https://news.google.com/rss/articles/CBMi0wFBVV95cUxPRUJ4MEV0SnlPNXhrRTBwYjFjT08yd043QmJJWFhDc1VIQ0xRVS1sLVBFbHMtcFNTMHN0RXczLTNtVFBDaktIUnlrV3R0dnc4OF9oVmZ6WnowUi1aU29rdk1MeHpkcE1yUGxNeUFYTnJNSjR0VkhqYXZuVkVTSHFRWVBnNC0yWTlNalUwYjlqaWg3TnlOd0xhbmNrSXA2cXRqcVplWG16WFhlYW9ldzVjX1JiejRPMkR3YndKZ1E0ZnVwc0I3ZjkwZTBub2xMZVk2NEhr?oc=5</t>
  </si>
  <si>
    <t>The sentiment is not 'bearish' because the expansion of Tesla's virtual power plant business in Japan is a positive development for the company and for renewable energy, which may actually have a bullish impact on Tesla's stock and the broader clean energy sector.</t>
  </si>
  <si>
    <t>Oil Spikes as Israelâ€™s Attacks on Iran Stoke Fears of Wider War - Bloomberg.com</t>
  </si>
  <si>
    <t>https://news.google.com/rss/articles/CBMinwFBVV95cUxOZjZPYVBhNlQySnhQdS1jdThOaW5hMmR0blFBdkRVU3ZqbWdva29vWHZoaDBtc3lxN05YZXhuWkx5OTJ1S3Qxc1lOTURvV3dOOWh0X19YR2hmd25iV0xiWHJVZFNlbzZDTWtUZ0xJM3lDQWR3YnZoZTRyT0EzMEgwTGhuZWtUSUZKYTdWcC16X3JDSE5YTzgybFhrMlczVm8?oc=5</t>
  </si>
  <si>
    <t>The sentiment is 'bullish' because the headline suggests a potential disruption to oil supplies from Iran, which could lead to a shortage and drive up oil prices.</t>
  </si>
  <si>
    <t>Stock Market News, June 12, 2025: Inflation Reading Sends Bond Yields Lower, Stocks Higher - WSJ</t>
  </si>
  <si>
    <t>https://news.google.com/rss/articles/CBMijwFBVV95cUxQMnJyTk83ckUxOGNDd3E0ZnNWbVVCVmtYeTBEMkdoNkF0a3lvVldPSUl2M1A4TndpeEU2d0NYYXRoa004N0JTakM3bFQ5Q3UzRWFQZGRRaTBKWWVBOXY0N3pIbHpCcTBXbC1yUTRVZDN6YW9CbVhJOURfOHIyMElTM1NZNVN0OHllajRGWUEyNA?oc=5</t>
  </si>
  <si>
    <t>The sentiment is 'bullish' because a decline in bond yields, triggered by a lower-than-expected inflation reading, typically indicates a more accommodative monetary environment, which tends to boost stock prices and investor sentiment.</t>
  </si>
  <si>
    <t>Egypt Locks In Landmark LNG Import Deals With Aramco, Shell, and Trafigura - Crude Oil Prices Today | OilPrice.com</t>
  </si>
  <si>
    <t>https://news.google.com/rss/articles/CBMixwFBVV95cUxQQ1QwUHZHUG1MdF95ODY1S0Q2SHFNWmxsUGlEeFY5Zy1oZmgtbnVOUGtCRFpoOUZGdU1iMUJZV0pXdjFsSkRiNllDR3JTbVF1WjZpaklkM2wwdHpwWGJUcVkxYVVyM0ZGbnFNaXl1ZElSZ1VjMDd4amJkeDlNYkFHUERLbWIyTVI2Z296VWV6UXVZNzlBVE1jM2prRFdnN05UVHg5Y0xGZXZXTndYT3B4eUJtSVpOR0wxWU9fOVRFb1NrbzE0cHBv0gHMAUFVX3lxTE1PTjlUajRxZVpVeGlGVkk2TVMydjRjV1h5ZnRsWkF3VDZMeldaY2hKX1pUaUhjZHVOV2FlTEpRV1dxekR6ajVQME50YXR3VklyVWlMbzFFTzlael9Yem1xZUFEbDJ6WXhVSE1aSHE4R1BBb1BSVG5FdzRMbnlOS1VwcjBUUGg0RXFYWmpPZEk0U0Y1dEFIdnFKblpIazhJYVVGbEN2TkZTVGtFR0NzMmlEMi1DbTZpQjN5TzROQTBSYnRhdkJHbE1keWl0Vw?oc=5</t>
  </si>
  <si>
    <t>The sentiment is 'unrelated' because the headline is focused on LNG import deals in Egypt, whereas crude oil prices are mentioned only in the tagline "Crude Oil Prices Today", indicating that the main topic is not directly related to crude oil prices.</t>
  </si>
  <si>
    <t>Stocks tick up but dollar hits 2025 low amid mixed macro signals - Reuters</t>
  </si>
  <si>
    <t>https://news.google.com/rss/articles/CBMie0FVX3lxTE91dlBsTVpmTXdpZDQ5RkstZ0xuSzVIem5CY0Y3SFRVc09LMWh0d1BmOUNWaEFUdjF6RW0xTjloWXhDX2Jjb1R5c3JZNC1LcGVTeENwbzVuZmg0VTlPVnl5Y2pRX3FnazdPSEJrSlVNVVRmTGE2bUlLUjgwdw?oc=5</t>
  </si>
  <si>
    <t>The sentiment is 'unrelated' because the headline specifically focuses on the stock market and currency fluctuations in response to mixed macroeconomic signals, which has no direct bearing on the oil market, making it an unrelated topic.</t>
  </si>
  <si>
    <t>JP Morgan Oil Could Hit $130But We're Still Calling $60 - Crude Oil Prices Today | OilPrice.com</t>
  </si>
  <si>
    <t>https://news.google.com/rss/articles/CBMinAFBVV95cUxQOWluNnNNS083WjJ2VE83OTV0MWlhaThnZ0N3MGFRblVHMUZtNUg3Q0JqNjdWa1B1M25NeVZ1V3prR1FwcndMZmJxSmdqTVB2SVh0dG1FNXR2WWpmRVVvVVJNRUZpbHBsTDBUVTZSNnAwMTdsVld4dGxYV0w1NXdSU3M4R25sTzI1T0RGdE5zV05aSmVocnptanNVTVDSAaIBQVVfeXFMTU1LdWVlVlhYLThmRGNvdUVzREd3bnFVSWdoRGgxNWRkbFp6TVozOTRPYzRkREFBOGJMSElYTTFYQVRTc3RWWHFUQmhZLTllc2M1b29kQkh1aEZ3MmxCdmpHNGlBODhpajRCNVRPQm1RbWRHQ21EOW1ndzh1YTllbEZ6cmZ2RUZJSklDZDc1VVNibWRHVlpleldNVF8xN0VMeWpn?oc=5</t>
  </si>
  <si>
    <t>The sentiment is 'neutral/uncertain' because the headline presents two conflicting viewpoints on oil prices, one extremely bullish ($130) and one bearish ($60), which creates ambiguity and uncertainty, rather than a clear directional bias.</t>
  </si>
  <si>
    <t>Petrobras, ABB, Seatrium to Develop Two All-Electric FPSO Vessels - Crude Oil Prices Today | OilPrice.com</t>
  </si>
  <si>
    <t>https://news.google.com/rss/articles/CBMipAFBVV95cUxNeEo4UVp0ZEhOeUlLcjJTcDFpS3NQQ2VON1owYnpRcGlNUS1MOWg3NUdsZkZFRnZXbGxOMG9MWE1GZERqbkFoMnE1dDM5bl9TTXJjeHZLWlJXTHVPdjgybDlWUS1ZSVhKVE91bnN3WDNPX2RQdzBlZGl4Vk9ibkRmWHRkNVZtUVNjZGZ1RDU0YjhUd0lxVlZZNVFQbDY0Vl9XTXhJNNIBqgFBVV95cUxOdlhsaVVIT0oxMDlGWk9paWpCWm9ERERORjI5cTVyeS04YzZIYWJZSG52ZUZKZ3M1WWEwMVE4LVBUbkRWNGpkVXF6SmtTY1dFd2x0ajFiQTBTa0tlbDBtMWZSdzJyTW1tanh2U3QzSEdYeXE3a2h4RWlIa2lmWkd3SE9EV3AyMUM1RE5aZnVNcTlMeXdNVkVPZ0hHM0dlbVR4U28tek1QSUR2Zw?oc=5</t>
  </si>
  <si>
    <t>The sentiment is 'bullish' because the development of all-electric FPSO vessels signals a shift towards more efficient and environmentally friendly oil production, which could lead to increased investment and activity in the sector, ultimately supporting crude oil prices.</t>
  </si>
  <si>
    <t>JP Morgan maintains 2025 forecast for oil prices in low-to-mid $60s - Reuters</t>
  </si>
  <si>
    <t>https://news.google.com/rss/articles/CBMisAFBVV95cUxQeVZYY3NRaVdSa2g3SU5HRi1TNmhGc2t4TnBJWDI2aDh0YzhLc0ExXy1feXh1bHF5S3YyRXU2aUpTSTRuVTd6dk1pNmZ3WEpwck5pTS1ZZm5lM3NBeGcxUWlQWHlwcFhyLXNnOVQ3Z0E2bVg1WF95MENwNmo1VUxWdGRzVDdpallsQlgyMGF6ZXY1LW9KTWk4eUwxWm1PWnFKRUc1UWRFb2M4MEZnWU1nTw?oc=5</t>
  </si>
  <si>
    <t>The sentiment is 'unrelated' because JP Morgan's forecast of oil prices in the low-to-mid $60s by 2025 is a neutral and factual statement, lacking any emotional tone or value judgment, and therefore does not convey a positive, negative, or mixed sentiment.</t>
  </si>
  <si>
    <t>Trump's Big Beautiful Bill Could Hurt His Own Energy Agenda - Crude Oil Prices Today | OilPrice.com</t>
  </si>
  <si>
    <t>https://news.google.com/rss/articles/CBMitAFBVV95cUxQd2RwaGxnUFYyVE1oUlcyb1VFWUZHUERfRFlUSTJQZS02VndwMU1tOWdFQWxwb0tsQUJEU2xhQmFCakxNa0tuMk5TVFhTUEY0TExxSnpUbElqajhfUzFHN2hSb2dUZHBaOUl6UmFFa25meFRGOTVxOW41RE5wRm5ld19iWm1ZbTlUemphalpfekNOSEstRWNEUVRfck1EMTNEeFNyUGtIbmlRQjZkdUhtaDR2RHjSAboBQVVfeXFMTWgyeFBiLXpPM05vMkFtNkkyTzBlNkRScGg1d0U2eWVSVEktQXVMTTc2Q2UzYm1lWjQwYUN2M01ISDJRZm9oQU9CTG5iY3dOYTI4SnVlSjBLSFFpbjlrSXJBcmJOTEFYeHBEMG90cFNibERLYTZaUjV0V2NMLTRjNEtwaGk0LVNHV0lSSUJjYVdPOF9TalFXTnlGMVlCTDVpZGxIdFJnREk5WUtoUDJvS0dPZ2ZlcXd2Y1dR?oc=5</t>
  </si>
  <si>
    <t>The sentiment is 'bearish' because the headline suggests that Trump's bill could negatively impact his own energy agenda, implying potential obstacles or setbacks for the energy sector, which could lead to downward pressure on crude oil prices.</t>
  </si>
  <si>
    <t>Most G7 members ready to lower Russian oil price cap without US - Reuters</t>
  </si>
  <si>
    <t>https://news.google.com/rss/articles/CBMisgFBVV95cUxQekRFTlg5c3NGZTJNWTZQQUZtaTNEMDE5UmU2anRhUnFCSDVTbHpTMGxZNk9qMGtOYURaR1dfTjd6UDUwS0txYVQ2XzU1MzdKZ20zSE9KajdvSE4tMEZnRXQ4UlFvczV3ZEZQMmN6bk5DM212clBpVHBaLXVOanRfMnRZWmhkdkt5cXhjSkZsSnJGQ1d4OWVxSy15OGt5ekpwUE9vaHZzN21ydjJOVXRnRzVn?oc=5</t>
  </si>
  <si>
    <t>The sentiment is 'bearish' because a lower price cap on Russian oil would likely increase the global supply of oil, putting downward pressure on prices, which would be negative for oil producers and bullish for consumers.</t>
  </si>
  <si>
    <t>JERA to Triple U.S. LNG Imports - Crude Oil Prices Today | OilPrice.com</t>
  </si>
  <si>
    <t>https://news.google.com/rss/articles/CBMijgFBVV95cUxOUXRoZEVpdWNTUi1kcm9CQldqczlBTkd2WWN3WDA1MkRGN0dBUklKMHU2Q2NIVjZzVndlSEpoaktsSURueHJKN2tadXdmWkZuSzRuVGpCSWtpNEVUeHlNZElKaDlQMFVMcWhxNHl6X1hFN1cyWHRVOXFNZFRpT0VxYkZkNlFESEJfYUtqUVRR0gGTAUFVX3lxTE4xUmpoNTg5eGU1Wld2T3psRHVBbmhjZ0xwUkdYaU1Zd05NaEJPbjBUWlBFUUZCa2ZydzROY1dQNndTQkpNVHpBblR1dldRV0hvWF9neFhFUEloQUZSZDNuWm5KMW5RZl9pME5UMk5qN052MDNwQzhkbW1Ldjg5dVFsT25uSnZlYzdBaEdBalA0T2ROUQ?oc=5</t>
  </si>
  <si>
    <t>The sentiment is 'bullish' because the article suggests that increased U.S. LNG imports will help to meet growing global demand, which could support higher oil prices, particularly if the additional supply is not enough to alleviate the current tightness in the market.</t>
  </si>
  <si>
    <t>There Arenâ€™t Enough Cables to Meet Growing Electricity Demand - Bloomberg.com</t>
  </si>
  <si>
    <t>https://news.google.com/rss/articles/CBMisgFBVV95cUxPWGQ0OURYN29NV19PU29Bdk9SNjd5Y0VmM21WaTN4bzlQYWZ4bW02X2RzdExwUC1YZVd4anRLNm9FbEpXWnl6VTlDdjBtWWI0VF9xYjRSWTFMRGR3ZlBNZFI0VmMydUZtcl9Ua2I1TWlDR2ZxaE1pNjhESVdwcC1lc3B6Z2psU1BaaUpJcC1MUXBYUUR0S0tHVVNFUm1nQXl6T1JWV3M0aG1lNXhCLVBMbWhB?oc=5</t>
  </si>
  <si>
    <t>The sentiment is not 'bullish' because the headline suggests a supply constraint in the electricity sector, which may lead to increased costs and potential power shortages, rather than a positive development that would warrant a bullish sentiment.</t>
  </si>
  <si>
    <t>US tariffs may have ended BOJ's rate-hike cycle, former policymaker says - Reuters</t>
  </si>
  <si>
    <t>https://news.google.com/rss/articles/CBMitgFBVV95cUxNRXdYbHNKQzl2U3NlRlF2YnVycV9HV3d1TWc2MVdyVnBqNmxVano0U0pLV0ZacVlfd2YyVE51bWIzVU5seDNIV1ZDajg0d2pXRUkycW0yc1VHUF9EX2ZjSTdZZFh6SzNCdmF2dzYtaHRfT0FQSTliMHU5bUU2VnpFbWRES1BFckd4N0tjVmFiZGJuTEwzNkNVYllnMV9rV3JxdU4wNW9ERWtmQVN3TC15MUN1UFpWQQ?oc=5</t>
  </si>
  <si>
    <t>The sentiment is 'unrelated' because the article is discussing US tariffs and their impact on the Bank of Japan's monetary policy, which has no direct connection to the oil market.</t>
  </si>
  <si>
    <t>Oil Prices Dip but Bullish Sentiment Remains - Crude Oil Prices Today | OilPrice.com</t>
  </si>
  <si>
    <t>https://news.google.com/rss/articles/CBMiogFBVV95cUxOVWlqdjg5MVFabURBWW93dWdhTnItd29fQ0hrckVMei1uZUtIWjl3Y2pjNFVTMlBRek1SNml5cjJMN24xOC1SYjZIUU9qbXhYMFJkWXVDdWxmYnpPQVFCVVdnTUN5Qk9jNDhZU3BCU2NsUXhITU15Xzk0bVNQS3pBOVVEanpWQ1kxZG5LTlBMNFVDMzduMXM0N1FrVnRmU2FGMHfSAacBQVVfeXFMUFpoN05rV29haktGQ3N2YVlhbmx4WWJnSU1OZDRZZXpUbnRjWkExS0g3c0l3T2pGWHhJd2ZiTXJtb05fUlF6aGhZa2lPbHdwaUZfLUR0TUhfeGtzY3Nodk5PVGk2TmJfc2R1SGVwQ0s2LXhlZzYwNzY1Yk9rZ1BKckRHMDdPejdXNnZlUEV1d0owM0p6eFJuMUNBb3pWSlg5Q0pDMjdGRVE?oc=5</t>
  </si>
  <si>
    <t>The sentiment is 'bullish' because despite a temporary dip in oil prices, the overall market outlook remains optimistic, suggesting that the downward movement is a minor correction rather than a significant shift in the underlying trend.</t>
  </si>
  <si>
    <t>China-US trade deal kicks the rare earths can down the road - Reuters</t>
  </si>
  <si>
    <t>https://news.google.com/rss/articles/CBMiqwFBVV95cUxNNnRYUnlKcW5hZTd3WGlOUV9EcGZXdGlDcnlEbkpyQkNBVFlUby16RndiLVYtdVNSbVdJNk5qRGJTQ2FnRlZ2TTNIeDlDenFBM2JWdGVKeEkzMExFcnNENTRnOVBCSmkxNGU4cU9kU3NPX01VdjZSV25Od0JILVpVMHNFMFBBdFVDRHA1N3hDcjR1ZkR1aDVRU0hYWXIxVENCSWdYam1WWE5WTnM?oc=5</t>
  </si>
  <si>
    <t>The sentiment is 'neutral/uncertain' because the headline suggests that the trade deal has not provided a clear resolution on the rare earths issue, instead "kicking the can down the road", implying that the outcome is neither overwhelmingly positive nor negative.</t>
  </si>
  <si>
    <t>OPEC Bets on Summer Demand as Q4 Glut Looms - Crude Oil Prices Today | OilPrice.com</t>
  </si>
  <si>
    <t>https://news.google.com/rss/articles/CBMikAFBVV95cUxOVTFUdXVpZUVwdEN5NjlNSlFTLTZ2TUE5cUtXNEo1UFZHNFJUaXh3RFlCaUZKekt1My1hXzd4OHozX1RCbEJubnRhMEtoODVSS2VQV1gwd3NibkhWcG9rQmNST2YxajNHMzlhS1JjRl9EV3hWX2o0ZENteE1TWFFXVU1UZkY0M05VelgyY3dSNEXSAZYBQVVfeXFMUE5sMEQ1VEJteFlmNy15MlUyNmdMbmN6RjRuUS1xX01CblRXYXhJeFlubHk4MUt2RnY3NkVSM3hvQkY3RnB5ZVozWE5uQmVIQm9WT3Y5NWRUZXZia3l1eVQ2b2NiTUlVWE0yTnZZSlJ6SkowWDd3dlNoaEN5YXBNeFd3Ti1ZVVZnNGNhcHlzQS1YczV4dl9n?oc=5</t>
  </si>
  <si>
    <t>The sentiment is 'bearish' because the headline suggests that OPEC is betting on summer demand to boost prices, implying that the cartel is concerned about a potential supply glut in the fourth quarter, which could lead to downward pressure on prices.</t>
  </si>
  <si>
    <t>U.S. Crude Production Set For A Decline Amid Low Oil Prices - Crude Oil Prices Today | OilPrice.com</t>
  </si>
  <si>
    <t>https://news.google.com/rss/articles/CBMiqAFBVV95cUxQczdvSkc0YjNSbW9HSE8tcVRRV0JMLVphLTJoRUYwUEcwQWxGVDAtbnNFUXNWb3dHXzhyQzQ1ZjdobG1UdEs1RFFMZjFWcEtoaDFSQ2tDZkIxaG5BM2N4X28zMHVXd1VhTlpiM00zRm9JVWxxZTRFZzlzQzQyenNIN0ZQUnItOHpwSm40bElIVGtNTWlXMnpPTDM2ZmdTOW13VGtDdkk1VVHSAa4BQVVfeXFMTVVJS21ya2R0YVVtWm1GcDYtYVdRSXZvYmxVWEpCTE50S09aNnNQQXZjZWU2MEt4UmJCbkw4QXYxZmQ4SmswQ1Q4X1oydnFHeXo5NFJhck1HWDdTb0pwTEJfVXZTWTBib19nMndWS2kzdzhOeHR2T2Y4VHRXcVJhRmxTbTJWQXc5elo2OWFyWXIxWDRKOTNuRW1KMWFzbnluMEtPZlBsaWpkX1YycGV3?oc=5</t>
  </si>
  <si>
    <t>The sentiment is not 'bullish' because a decline in U.S. crude production amidst low oil prices is a bearish signal for the market, as it suggests a supply glut and downward pressure on prices.</t>
  </si>
  <si>
    <t>Canada's Trans Mountain Pipeline Could Boost Capacity by 2027 - Crude Oil Prices Today | OilPrice.com</t>
  </si>
  <si>
    <t>https://news.google.com/rss/articles/CBMitwFBVV95cUxNVXN2MjZMQmlKdGFDYzQ3NVdJUmxlbTItN2tSaUhhT2dMUWY2dGg0ZFRSTk1RYUQxd0o1WHRYbUxqNFFPemdwV1I1WWZ3V3VGRFN4a0VwX2RMOF9sb3dvUFdZWkVHOEt4a2pxYzZtMlotUV9kd2dkZzBJanctSDBrOFBIQnVtQzNOamY2U241OWFsaHU3a01RTDg3N2g1ckdPNE9Xa2gzcjV3M3NEQm9zWTR2WVlmT0HSAbwBQVVfeXFMUGJNSThfcGVnM2hMQTBVYkdGSUFxanRFV29BdmlQdHdFUU0wMUdSNFUzYmxlWkxYelpQaWtLTkJpd3ZTNHQ3VEZEZFZJSGFkSGVCandLVXdvSFZIWXFfYlVWd1l2T0dtQnloZjFPR0lkRjVLMEJuUFBWNXNkbG4yMXhpWUE5QlFvaHlnanU4Q0F3aUZURUljclA4MDc5UnRPaU1vRmpPMDJTSlV2c3dFV1l6YUhFX1FJSW5odWU?oc=5</t>
  </si>
  <si>
    <t>The sentiment is not 'bearish' because the headline suggests an increase in pipeline capacity, which could lead to increased supply and potentially lower crude oil prices, a bullish signal for the market.</t>
  </si>
  <si>
    <t>Morning Bid: No relief from US-China trade truce - Reuters</t>
  </si>
  <si>
    <t>https://news.google.com/rss/articles/CBMihAFBVV95cUxOQlJMOUd2a21jQlZCUWJXdnp3VGhLRWZ2S1AyY0JKZnFMQ29GT1dwdF9VN2pfRC05UmZiUUNRdVhNRlN4Tjl3bWMwTjVJUXUyZU9hYU5ibHE5NkhNQ2FRdGV5bFRBdGE0eEhWXy0tQ2VJOU9BM1pXaV9iX1g0azlYa2NRWEc?oc=5</t>
  </si>
  <si>
    <t>The sentiment is 'bearish' because a US-China trade truce would normally be expected to boost market sentiment, but the lack of relief suggests that the agreement has failed to impress investors, implying that the underlying concerns about the economy and trade uncertainties persist.</t>
  </si>
  <si>
    <t>Deutsche Bank's deal-making business weaker than expected, CEO says - Reuters</t>
  </si>
  <si>
    <t>https://news.google.com/rss/articles/CBMiugFBVV95cUxNSmhtcUpaT0Rwakp6LWkyZmJYRXpwVlg5bExuZlQ4Z3Q3eDZzY2N4LXRDQ2JUeGlteDBWVF85VVpRamdZV19vcE5CZ29tMWdIb3pEc1ZrUUJuQnpqaVVkTm12cjJNblZDaldzT0Z2SlZ0Q2RWU2tzdFBmd3d5aEJtVldYeC0tV3h5cDJrenFGeHlSTlFfSVhaNk9UcXlFQm8taDA3M3hkVExjRXdGNDM2OVRfc2w5ZkNxOGc?oc=5</t>
  </si>
  <si>
    <t>The sentiment is 'unrelated' because the headline is primarily about Deutsche Bank's deal-making business, which has no direct impact on the oil market, making it an unrelated news item from an oil market analyst's perspective.</t>
  </si>
  <si>
    <t>EU Proposes Sanctioning Two Small Chinese Banks for Russia Trade - Bloomberg.com</t>
  </si>
  <si>
    <t>https://news.google.com/rss/articles/CBMitgFBVV95cUxPMjduQnNGa3VuWUo3eDRHWUF1MTBOeUZSN0hlU1VDaUpUUjRJVVZyZ01zVFZYVU5SNDRSUFFMaXhYMW1ucWhMV0RLZFVhekNLaTBmLTBsU01Xck9Wcm9Nalp1dVJNRVVEaE9Ca05ieTZKS01mQURFWG5SMHpfVXRhQUpjVEtMV3FSZl9pWlVyZ3NDUHE5MTBuM2NydWhYakl4MEM2Q3Q0Z184YUxsbGJtMk1Hb0ZBQQ?oc=5</t>
  </si>
  <si>
    <t>The sentiment is not 'bullish' because the proposed sanctions on two small Chinese banks for their involvement in Russian trade are likely to increase tensions between the EU and China, potentially disrupting global trade flows and causing uncertainty in the oil market.</t>
  </si>
  <si>
    <t>Supermajor TotalEnergies Boosts AI Use in Its Energy Strategy - Crude Oil Prices Today | OilPrice.com</t>
  </si>
  <si>
    <t>https://news.google.com/rss/articles/CBMiuAFBVV95cUxQNHRUdm9rX1JESzJWTWl6dGRrTmx4Nk9ET0xEMW1sZ0NZZ0E4Mm9HRDhpQ0NXVTVNeFRtQ3haZVFNN1VPX19nc3YzTm9tRjR1Z1VURldCT3RHTUxlMnVaR1IwMFJQTUZSaUpwQXd2QVVNbVVRVXowZDB6T1VNM2ZVMWVnS2tscmM4SGc0WHJHY0VWOXpaYmtXNHV3MDR4LTliWkVVbXFEcVlNQ09GX2JDQjJWbm55REtH0gG-AUFVX3lxTFBodktZd2x2Xzgwd3ZvUGN1SXg4Q3JrS0ZBLXVGWTRqVXFnZ0Z2SkRYbmp2TXNUOHZGZTZDQnB2TUFmTHRmZ2MzdEkwamFTYlVDTXVNWjhMRGtBeExCeVMyS2l1MlVmekw5cWE4ZkE5RTd4UnJQS2xhdVVWeE9vWDB2SENnRHF1RkdqYXBkT2hPRGppQm5IeWE3RXp2aS1tNENNN2VDV0RtUDZST0c0VXVPMFAzMzJ3LVgyZTVMMFE?oc=5</t>
  </si>
  <si>
    <t>The sentiment is not 'unrelated' because the headline mentions "Crude Oil Prices Today" which suggests that the article is related to the current oil market conditions, and the fact that TotalEnergies is boosting AI use in its energy strategy could potentially have an impact on crude oil prices, making the two concepts more connected than unrelated.</t>
  </si>
  <si>
    <t>U.S. Energy Secretary Pushes Back on the EIA's Oil Decline Narrative - Crude Oil Prices Today | OilPrice.com</t>
  </si>
  <si>
    <t>https://news.google.com/rss/articles/CBMirAFBVV95cUxNeFI5NzF4UDNPbmpXQmRIUFlXWjI0dFh0OGtROXhkamdLNXliOU9Da3RGdVYyRjBhWUdwUDhzLVJBSzdsdVZwSkp1NDlEOWFac2tsUjNxX3pBNXZ2NlpKTm5HSld1NXNjemp3SEwyOUZFekxkdXBzSzVhbzZxemlseWRWal9udTd2MDI1QTJkaVZZbF9WeDBkQnhRQjA0ZDJYZEI3enYyTXdJY3Vz0gGyAUFVX3lxTFBZYkgxcWZYNUFOVVVHdk14SEIwNU5GMXFxdXlDcWpjM0VzYzVTQW10UTVpbk5ueWk1LXhrRFJfY2E2Nl9XakJQMHBEeGZuR1l1TTJid2VDcmQyRUF2Z29zY1dPblVpbjJtbmhtTXluUEdmVTV3M0JlRjM5eFZoVTRBbzgxcnRtaVRLbkZaeWo1Qjk2ak9ESGlUWnVnZWRIcmY5YUZ3T3E1T2kxRTBEdmdzTXc?oc=5</t>
  </si>
  <si>
    <t>The sentiment is 'bullish' because the headline suggests that the U.S. Energy Secretary is disputing the Energy Information Administration's (EIA) forecast of a decline in oil production, which could imply a more optimistic outlook for oil prices.</t>
  </si>
  <si>
    <t>Oil Tanker Titans Stay Calm But Cautious After Mideast Warnings - Bloomberg.com</t>
  </si>
  <si>
    <t>https://news.google.com/rss/articles/CBMitAFBVV95cUxPSVY3a01vTngtMUV5MUduY1ZQVlJIMnlvNkpZbzFjR2JSNHpMekdzQ2c5R2FjaG12UXpTZEN2OVdmM0ZwT19xdVljNHVITGV1ZmM2Z1k3QXNWRi1XeEpIRFNOMS1FQzBjN1JCblhyUE50V2ZpZnl3RW1nOGRyQzRJb2RtNU1RcFY4b1h4cm9RT0ZMTVk5NEVPLWpnZ0U1MEs4cHVRNkxQT1VwZkR2OThTY2FxbGQ?oc=5</t>
  </si>
  <si>
    <t>The sentiment is 'neutral/uncertain' because the headline conveys a sense of stability and lack of panic among oil tanker titans in response to Mideast warnings, but also suggests a degree of caution, implying that the situation is being closely monitored and that the outcome is still uncertain.</t>
  </si>
  <si>
    <t>Trump frustrated about the recent rise in oil prices - Reuters</t>
  </si>
  <si>
    <t>https://news.google.com/rss/articles/CBMioAFBVV95cUxPcEstRE5nbjJucDZDUk44ZF90ZnNHWUZjYnR1TUZsMDZjMXhwNmNrUVBtR0g0cmlWTnp5alVmcFlFVWFKVWVWNmcyeUdJdXI2bmc1Vzc5QkJuTUFBRE1hTXdPV2wxdFpnZjFYNzhFU0pkQ2FqU0oyUUhkLUpRemZOa2VsbGpwckN6ZUFneFR4QU9zYUU2YmVaRnBqM2xQUkVl?oc=5</t>
  </si>
  <si>
    <t>The sentiment is 'bearish' because a frustrated Trump likely implies that he is unhappy with the upward pressure on oil prices, which could lead to potential interventions or policy changes that would put downward pressure on prices.</t>
  </si>
  <si>
    <t>Morning Bid: Oil pops, dollar drops - Reuters</t>
  </si>
  <si>
    <t>https://news.google.com/rss/articles/CBMiiwFBVV95cUxOU1J0UDlkYldYemR3S043Vl8ycFlGaTJkMXF0ay1KNzdScGxEa1JtSWZJLVYzWFlETGhOSTFPYjVJeWNmNTlmb01admg5cnJxU0FyNEVFcWcwTE9WaWtSQ3RBdUNqOVVtLVc0UEtCbFZLcG5uZ0tfdWV6ZUVadDdCUjRuZUJNUzZMQmU4?oc=5</t>
  </si>
  <si>
    <t>The sentiment is 'bullish' because the headline suggests that oil prices are rising, which is typically a positive indicator for the energy sector and could signal a potential upswing in economic activity.</t>
  </si>
  <si>
    <t>Oilâ€™s Lost Decade Is About to Be Repeated - Bloomberg.com</t>
  </si>
  <si>
    <t>https://news.google.com/rss/articles/CBMimwFBVV95cUxQQTVNU0JhUjNPZ0czVkNiaWcyNVFMNFlsNHZab3Y5a2dxMGJ1S3puS3FHOWozcURyVGdpUnFZNUY4c0EyR2QwMFZ2emNOV2J4d3F6UXRUbUc1Ti1hbkMxemJYeUczaXhrbGl3U2NlckVqN1RXc0dadUhSSWxJQjZqcF9zNlRXT1o4RF9UVlZRN3QzSEZlVUxFS19Tdw?oc=5</t>
  </si>
  <si>
    <t>The sentiment is 'bearish' because the headline suggests that the oil market is about to experience a repeat of a prolonged period of poor performance, implying a negative outlook for oil prices and the industry as a whole.</t>
  </si>
  <si>
    <t>Morning Bid: So, it's a framework for a deal, maybe? - Reuters</t>
  </si>
  <si>
    <t>https://news.google.com/rss/articles/CBMif0FVX3lxTE9iTDBZSFc2MnBCeXpiVGs5SDVIYUEtLUdaYVI1NDJwYmFHRHFZVXpzU2ltblNUQy0xM3hYaGFEekFCUW16eTB0SlhhUGV4emtOS0ZuZkYweUR4cW5tTkZSUjg1ZFNVZVBjX0VrSzhPVjNBOWlmVUlONjB4cGdXNWc?oc=5</t>
  </si>
  <si>
    <t>The sentiment is 'neutral/uncertain' because the headline's use of "maybe" and the question mark at the end convey a sense of ambiguity and doubt about the significance of the framework for a deal, leaving the reader wondering about the actual implications and outcome.</t>
  </si>
  <si>
    <t>Guyana Prepares First Export Cargo from New Offshore Platform - Crude Oil Prices Today | OilPrice.com</t>
  </si>
  <si>
    <t>https://news.google.com/rss/articles/CBMiuAFBVV95cUxQelNhbFFfYmpuXzFYT09VRUVsbUJqVnFGTWVQUHFhWlh2WUFzSTRfOGpSWi1haWNCYWQxNENEWGlZSWdxc252VENJVkF6bWVlU0tiN2FKWGd0Z1dPcmd4czFSbG1NdG9EcU93MlVFTU1xeWFtZVl6WkFabmZnZElfakZNWDNtRHoydUlfZVRXS1Z4Vjd5cmNtWkxwSUlabTRnOEFZVzQ5eDFsUmFpWDdSSmJnNGx6cWJI0gG-AUFVX3lxTE5iMUtROVJQR1NCNlpFam55N29yNk1NYjdYcG1pSmZrNkNIZm5mYnF5a0dwSzRhdGlqdi05dTEzdVBhVjd1aXBMU0xBZy1UdmhrZUh1MzloZlBQUjlLVjlSLU9Ob0NEMmd0TVdXUTBxWktIeW5UU1Z4cDBKWFU0LUYtUFFLei1hQl9GYVFDV2o1WmhYMnBHZEdSX3dxaVlvc3BLVVptbm5LNC1fQmNRNHZtTUxORjFMSlV5c19TbkE?oc=5</t>
  </si>
  <si>
    <t>The sentiment is not 'bearish' because the headline merely announces a new supply of crude oil coming into the market, which is a neutral development that does not necessarily imply a negative impact on prices, and could even be seen as bullish if it helps meet growing demand.</t>
  </si>
  <si>
    <t>What Are Iran And Russia Really Up To In The Caspian Sea - Crude Oil Prices Today | OilPrice.com</t>
  </si>
  <si>
    <t>https://news.google.com/rss/articles/CBMipwFBVV95cUxNajcxMEJQMzBMeUJ6U0lacmxwV3N5b19tQXAtb2xqdFRZY3pnOTlxbFdRMXF5YTEwRVNuS0hMY085Y1AtREYyVThadzJOTmJBZ09ZNnFLQlluQlg3cl8zOUE2NTJra05MZkp6bm81NWgxZVcxdnFXb1RUdndwQy1KdXdQd1NuM2RrWjRzVVNnSGxFYk01TkNkYmdxZ09zVFdJY1NUaGhxa9IBrAFBVV95cUxNd1RiSW5Za0Z1b3hMaGFURzNCbDFweGVQTkd3VzV6QlFrazhkT0lnWXpoYTRDQnhBMm5jYUtoa3BHMVdrU0hXQW4wLW0zOEF2d0ZuZDBvQUlNLTk1T2ZvVF9nbTFTYzdTd2VOcmpabzhmRHBOOU1wX3F3UVdCQjZpbFFkZGRmYmdUNHJSWVU5cTlsM2JKQTRubUhsNkNmeFdLcmR5S0czcUJYTy1C?oc=5</t>
  </si>
  <si>
    <t>The sentiment is 'bullish' because the increased cooperation between Iran and Russia in the Caspian Sea region could lead to increased oil production and exports, which would support higher crude oil prices.</t>
  </si>
  <si>
    <t>US Energy Secretary Says Oil Output Drop in 2026 â€˜Unlikelyâ€™ - Bloomberg.com</t>
  </si>
  <si>
    <t>https://news.google.com/rss/articles/CBMisAFBVV95cUxQRUpGelJKbzlZZHhLVlNSNWlhNXdnNDRpdmxWWTlWVkxqa2FTUjdnRjBUTFpOdUtjZU1OWGNtU0hlaVpMQUJnZnV4OGFfZ1RXRjRoVUEtV3A2U2Y5WjJWOC1pWDBpSFZTMVI2dk5Lemo5dXh1emFrOEpNNUoycWRyajhGTXprZENwV0ZlV3FOVWF4RW5JQXA2MWF6RWdjWWdDR0J2dzZPbTQ0NVZUalZLcQ?oc=5</t>
  </si>
  <si>
    <t>The sentiment is 'bullish' because the Energy Secretary's statement implies that oil prices may not decline as sharply as anticipated in 2026, providing a supportive tone for the oil market.</t>
  </si>
  <si>
    <t>UBS shares slide 7% after analysts say Swiss capital rules put buybacks at risk - Reuters</t>
  </si>
  <si>
    <t>https://news.google.com/rss/articles/CBMiuAFBVV95cUxNTFhvY1NPa1R4bGw1R1VEeXBYTTJyeHhsMUlROHZUa3hpcVNuY21ZUExob0l4Y09ucXVkWENGQzN6WmtyRGR6cW91ZUNqUWVYT0d3THN0Y2Rkc3NXbGlmdk5zb3dRSDhBMDdLVFlNcl9FbTJJVEZ1aVpyTjZ0eU5aTWpMMEdZcUdMOXljZUY2eVVWMTF3TzRmNUVqTVFPNDdWcUtwRjRpUW5idzBIRjEtX2xkZzVMWHZH?oc=5</t>
  </si>
  <si>
    <t>The sentiment is 'unrelated' because the headline is about UBS shares and Swiss capital rules, which have no direct connection to the oil market, making it an unrelated topic to oil market analysis.</t>
  </si>
  <si>
    <t>Adnoc Eyes BP's Gas Assets Amid Breakup Speculation - Crude Oil Prices Today | OilPrice.com</t>
  </si>
  <si>
    <t>https://news.google.com/rss/articles/CBMikwFBVV95cUxNSVgtdzJHZko2S2Q2a01GN3VWdjZVOFhuM1pPd0xpUmFKU2NTMDdwQmlYYzBlQnk3TFNVOVRMdllsQW1DMW1FTHNuZDNLbVN5R0kxaGtxZmNhcnlKM0pwcWEzVWZUTjVuaWhReUQtWXFwTElNanZ2WUtwaFhYWEIwY0RqdHBHOTVrRDJHbXA5ZDF2X03SAZgBQVVfeXFMUEtEenlRT25BRkdDa293dU1tV0FoMk5pS3Y0U3QtX2pqQXE0Q01qZ3Y1TFg4cnAwcWE2eWNlQTROMnQwZUJqM0NVZEd4VnBYQ3JueTZtbjNGX0ZNTVdUUXljQjZNZVdJbTk0cmtvODlMVy1aR1hSaV9RajZvNU14ckNIM1k2NjYxQS1ZYVQ3OVNrSUE3NkcwVHY?oc=5</t>
  </si>
  <si>
    <t>The sentiment is 'unrelated' because the headline is reporting on a specific business transaction or rumor involving Adnoc and BP, and does not express a clear positive, negative, or neutral emotional tone, making it unrelated to sentiment analysis.</t>
  </si>
  <si>
    <t>BofA The Saudis Are Readying for a Long Oil Price War - Crude Oil Prices Today | OilPrice.com</t>
  </si>
  <si>
    <t>https://news.google.com/rss/articles/CBMinAFBVV95cUxNbUJneDNDcmVLSkh1T2RibFN2ekhXTGZVdHVFZGh1OGZyeWctVGxtV1RRV2FTYS1EMngyTDhJX3N0cktiWGF2S2VVOFlYWl9hcUo3YU94eHBHQ183QTFiTzBhLUVxRFEwRHh0LW4yaG5jSUN4dUZTaGd1WUdhR3dpTlRVRUZHRGp5TFlNYlhSLWUxeTlodGJPYW1aYUPSAaIBQVVfeXFMUExVT0dRWTFtNlo5NzB2Wm1DeDJScThWcm5Ib055clNNUGZZbDN0U2FGM3RlY0w3b2xTWUh1QkUzRWt4SDRoQ3dhUmlWNEhmWXFwSFdTQVY5Unh6NWNzY0NYWlpsV2xHeWdUNUVrUXZGZ0c5ZVlZOUZibDFaTzk4YzlEMWVPX0Q5cGJKcmRiMTJyb1l2WG9FM3lHLUpBdGRUMnZB?oc=5</t>
  </si>
  <si>
    <t>The sentiment is 'bearish' because the headline suggests that Saudi Arabia is preparing for a prolonged period of low oil prices, which is likely to negatively impact the oil market and put downward pressure on crude oil prices.</t>
  </si>
  <si>
    <t>Stock Market News, June 11, 2025: Bonds Rally After Muted Inflation Report - WSJ</t>
  </si>
  <si>
    <t>https://news.google.com/rss/articles/CBMihAFBVV95cUxNREdVZXZVenRLRmJnZXRzMjhhTnVZYVdTMUFlVzRnSGV2QUtmOXk1eHlsOXJaV1dCb0RGd1lfRmJQLVF4eEwzbUp4NEZKOWVzaTAyWjhwZFNEZTJvOHpOaFg0dXM0Z3Z3UHB2Ml94TEVHSU91VG0yRWUtdmJMV3JwU1FhMEc?oc=5</t>
  </si>
  <si>
    <t>The sentiment is 'bullish' because a muted inflation report suggests that interest rates may not need to rise as quickly, which can boost stock market confidence and lead to increased investment in riskier assets, such as stocks, rather than bonds.</t>
  </si>
  <si>
    <t>Hot Asian Summer Could Further Boost U.S. LNG Exports - Crude Oil Prices Today | OilPrice.com</t>
  </si>
  <si>
    <t>https://news.google.com/rss/articles/CBMiqwFBVV95cUxOSjAycWdUVDJZNFR4RkhrQTdlU1IybWJwTEhMaXNJLTVCUTFnZTNTLUNJYjJXeENtVE14NFNkcnpJVUl6N3B5MS1mdjE5SkxDb3pEMzJfOF8wOTlHNTU2WjB0WGQyQnVGcW5mRG5QVGdVSlgtX2toYzFPSzlXX0dLU1hHOWgwR1p2QjRXSkNRTzdCelVwTXd1VG53Wlg3czhycWM0ckNSWEtFSDjSAbABQVVfeXFMTVBzUTRMNVpwS24wbkhKTjZmb3dlRDIzNk5DYUttSGNiTnRhT0JqRkExb01McE5jM2FBSmZOQ3F0SEtqUkM1QVNjUjZmQldadXk5QkdhT0tBWGlUZENsZDRQbUw2QmRVa1dHUEMzWlE0dm94WFo1ZkNVTWwxUjhkZC1OX0xtN1dlUjNRLTN6d3VlYTlUOXdsbHJGS1BjZ3M4UGxkM1NCUVJ2ZW1XLWlHVFo?oc=5</t>
  </si>
  <si>
    <t>The sentiment is 'bullish' because the headline suggests that an expected surge in Asian demand for natural gas during the summer months could lead to an increase in U.S. liquefied natural gas (LNG) exports, which would be a positive development for the U.S. energy sector and likely supportive of oil prices.</t>
  </si>
  <si>
    <t>Exclusive: Frustrated by Mexico's Pemex, Hokchi Energy pushed to change who buys its oil, sources say - Reuters</t>
  </si>
  <si>
    <t>https://news.google.com/rss/articles/CBMizAFBVV95cUxOTFNETW1ad0lMYjF0cVd1OVMwb1BKSzhQOFB0azBCcnB6ZTN0QTZnZjFTbzE2NjJMR3hXR0cyVVlRSkdFMWdXaHFGT0YxNmMxQzAyWEZLbVN6WVBaUWtRMHoyaVpYRlFNdEgzd3Y1VWUxWjhaSVdZVzJZY3h5YUpHUW5KR0ZuY1ZxMTBRVmphWXpNYktsZGlKZ085bWVKRk14VE1SRDY3bF9RZ3BaWUZjU0J1dHFvbG9fRnJEVUd5RW5rQkQ0WWlUS3o5eW8?oc=5</t>
  </si>
  <si>
    <t>The sentiment is 'bearish' because the headline suggests that Hokchi Energy, a major oil producer, is frustrated with Mexico's state-owned oil company Pemex and is looking to change its oil buyers, implying potential disruptions to the oil supply chain and market uncertainty.</t>
  </si>
  <si>
    <t>Kremlin says EU-proposed lower Russian oil price cap is not helpful for global markets - Reuters</t>
  </si>
  <si>
    <t>https://news.google.com/rss/articles/CBMiygFBVV95cUxOcTBoZGJsYjBCY3MyclgtRFhSLTZWM3VVNGtwZkFOTldzOGZUekxNU1AtYnJwVjhLbThCZ24wSkx2R25EOWVQU1l6R1A2VDdaajZOd2JnU1N3aXZSbUJxOW01N2lIaUJjWmJ2aDJ2SjZ3TEdydWtyNGhZRFljMWRJMmpTOU9KdXI3cmxmNDQ5bmVjZ0NYazUwaEx5dFhZQ01ISS1wbkZzYnd4elN4TS1xZTNEbFVMRzM3X1dTUllkd050cGRadXlvTTV3?oc=5</t>
  </si>
  <si>
    <t>The sentiment is not 'bullish' because the Kremlin's statement is not necessarily supportive of higher oil prices, but rather a criticism of the EU's proposed price cap, which could lead to uncertainties and potential supply disruptions that might actually drive prices lower.</t>
  </si>
  <si>
    <t>Trading Day: Good vibrations turn sour - Reuters</t>
  </si>
  <si>
    <t>https://news.google.com/rss/articles/CBMijwFBVV95cUxOZE5HeTRPWHJNU01xbWhqU01DMWZjZVp4S2czSGg3TmtLUWRHQnpwaW1WSFpzSkhhQ0Q3c0dQNUtsblF2alB0R3F2MUJxUGtzakZWdTZDWjZhNV84SG5CdGhxWjVkRll3ckowVUhicElyZ3l6SnNJZ1dOWjhQTzdPSW1TcEhhdlFXR0Zlb0xNZw?oc=5</t>
  </si>
  <si>
    <t>The sentiment is 'bearish' because the use of the phrase "good vibrations turn sour" implies that a positive market trend has reversed or is deteriorating, suggesting a negative outlook on the trading day.</t>
  </si>
  <si>
    <t>Adnoc Is Evaluating Possibility of Buying Some BP Assets - Bloomberg.com</t>
  </si>
  <si>
    <t>https://news.google.com/rss/articles/CBMitAFBVV95cUxOLTBKSFlyNThULTlRMVEyWnF0NXIzZHNUejlNT084SnZmcl9fUlBRb1ctNG5GLXdIS1NGNTNVcWNIQ1VWNlQwTHgyZ3hKOVpodDY2Q2NiWlBiM0FTazVxZ09zT1ZoNC10QWlLRzVKVkQ4MHlsTi16c2dLQjVzUjNjU2tsY2E4UmV0RDN4bmFCZDdFaUVLcnMtb3JWbks0TllRejBpLWV4MVBzbmwySjcyRTJ4TlM?oc=5</t>
  </si>
  <si>
    <t>The sentiment is 'unrelated' because the headline is simply reporting on a potential business transaction between Adnoc and BP, without expressing a positive, negative, or neutral opinion about the deal or its implications.</t>
  </si>
  <si>
    <t>EU Set to Allow More Flexible Natural Gas Storage Targets - Crude Oil Prices Today | OilPrice.com</t>
  </si>
  <si>
    <t>https://news.google.com/rss/articles/CBMiswFBVV95cUxQcjZNX1VvQXRQcUtYa09sZmZKTUlUaThwWllIOV9hc09aanRzRVJuZkxIV0ZIRDBlLTA0UjVQSC1SWkd1aVR4UzJKaFp4YlcyRjRFVWRwVFl2aVFFVW1GLUhqaHZJYmpWNGJCSDBiTXlzNjNIWFVOZ3d3ajBmOVVhSHFoMkxlN21FQ2RPSlJza0FqcHpXSU5pYmZoNkktUUE4M3VZMlJKWk9qYVdKeXB5cmpjONIBuAFBVV95cUxQRFZjRDRjVk9YbFV3MnlvQ2ZjNGxPaW4wR0RxRTY4R3QxTktlSTlVaXBqNE55MkdoYllYbEM4MUQ2QmUtdWlKZ3N4NnhtYTNkNE9LcHlsMXYyaDZiLXpjNGhWbG9qRV92VkNGX0lBbmgxMXI3Z0FMRWQ2RGRMQzdpb0U4TnZmQno2Q3FJRGEwSU1oSGxwLXRpUHRMeE4wNXZKQWJGVWNEaS02bF9DclNLRWl3b1V0OVJY?oc=5</t>
  </si>
  <si>
    <t>The sentiment is 'bearish' because allowing more flexible natural gas storage targets could lead to increased supply and reduced demand for crude oil, potentially putting downward pressure on prices.</t>
  </si>
  <si>
    <t>Trump Claims China Will Supply Rare Earths to U.S. - Crude Oil Prices Today | OilPrice.com</t>
  </si>
  <si>
    <t>https://news.google.com/rss/articles/CBMipwFBVV95cUxOYTZ2M0NzSWJFSUVGSU1QTHRJLUpNWHpNblJscXRmS1I5Z2F2b1Q1X1BGekJndE9FRm9uR2hKNVQ4LXpxdjlXLUVYNlNlSDlQU0Rkc1o5SFREcDY4NWJtWEpXcndxczJJZzhITmNvQUtwSzZjVDd0dUdYb0NxS05OWEx4RTFVaGtWbzk4WFlkRzlaNlh3eFpoQjRHYnd4SWhNYXdMRHdaZ9IBrAFBVV95cUxOdkxLcWtpQTVvcUJXdmJhcFhNcTFjLUp2Um1hZ2NrckRBY0VWdm8zZm9Hc2hETFA0Z1FCRTBLYWVaN3Mxci1uZ0NhRHd3eU5XR1NIU044SkQ4ck5RbklTYTVVUmNGU3pYb1R5dk43eEVIY1REQXlZT2RZenhSQkJ4VTY2REtZdE40M3lpYzhyYmRaOXNyeFVZVmhlZ1RmYkJkYlY4NldpbEpJQzQ1?oc=5</t>
  </si>
  <si>
    <t>The sentiment is 'neutral/uncertain' because the headline presents a claim made by Trump about China's intention to supply rare earths to the U.S., but it doesn't provide a clear indication of the impact on crude oil prices, leaving the reader to interpret the potential consequences, which introduces uncertainty.</t>
  </si>
  <si>
    <t>Oil Prices Slip Despite U.S.-China Talks - Crude Oil Prices Today | OilPrice.com</t>
  </si>
  <si>
    <t>https://news.google.com/rss/articles/CBMimgFBVV95cUxQSVVzc0dJR2tCd01SeTZ4UkdWNjNoVWFqVFlrSENrZ2FXVWFOODhsQVRCTHV5Y3RXeFJzUXpGZ1NoTlBkYmpnVk9LZmtvVF9KYmJoRTZva21rUHpkZllhRVN4bFROWTFRekZTUUZBQ3c1dEFSbjlXUUcxOGNxeDBMc1pOckdWcWh5X3VoNjFsVGpLcF94Z2FmTkx30gGfAUFVX3lxTE9EbldsWVVjMlRxMXhDLWZsMWdRQk02SGd0dUJISWdfTlZyNHROZkRaTGxkaVM0ZHBJYmdLek84UGQ3MzlBd283QzFMR0x2NEh6a1JKc0h5QUEyNFNyRWdFekV3d21pdWR1Z1FoVkFTOElxRE1mVjhwZ3dGZzhIZ2xkcGpyZ1hkcV80YVBEc01NekdkSW1XdTBqbzk5dWFDcw?oc=5</t>
  </si>
  <si>
    <t>The sentiment is 'bearish' because the headline suggests that despite ongoing talks between the US and China, which could potentially lead to increased demand and higher prices, oil prices are still slipping, implying that the market is not optimistic about the outcome of these talks.</t>
  </si>
  <si>
    <t>US crude stocks fall, gasoline and distillate inventories rise as refining activity increases, EIA says - Reuters</t>
  </si>
  <si>
    <t>https://news.google.com/rss/articles/CBMixgFBVV95cUxNaGdhbmpWRjdWb1h4N2syLXRla1cwYXpobWpqZmNjLTBfNXV1cWpFWXVIRDA3MHJUV1FtczFUNnA5OUlBUWZ4SG1Na0xkRHY3Zy0yMHhmYmJya1hEQTZ5Tmx3R05ha3RTR1NsemRYMlBSd1dyQm93TFFPRmE4ZXo4NkxVeEZibjVmU1RXdjlxVnZ1SjBPX0d5WHlZc1JzYVNWY3hCaFpJZzFlYU9IQXRFSWlQNWlDeVB1ZHc1Ni1xV1VlWmJHdnc?oc=5</t>
  </si>
  <si>
    <t>The sentiment is 'bullish' because the decline in US crude stocks suggests a tightening of the supply balance, which could support crude oil prices and benefit oil producers and refiners.</t>
  </si>
  <si>
    <t>Uncertainty Dominates Copper Market Outlook - Crude Oil Prices Today | OilPrice.com</t>
  </si>
  <si>
    <t>https://news.google.com/rss/articles/CBMikgFBVV95cUxORFlsNlhsdXVDM0tVa1dMS1ZmeHktblVJSkRaNWVvTnB0VlphT19fTGVySDVaNDFiRlVTYVBDWDB3SFVyWnNnaEhiYzhmMEdEcXEwNll1UWtULTdiUTRZQXBCdDJJVENuZ0F0cUVHX3o0dTJHUkM0RFJ4S19OdG1jVnFBOUhoS2FpS0xlWVU4LWJyd9IBlwFBVV95cUxPWDlzejhUZlpidVdWWGVLUHQ2b3VZd1JaelNiSFVLMkxvaURNdmtYS1M2ekFOaTlyOTlfR2hJVG9GeEJabzgzQXJCWkJzcUFHenlKcVk0ODhfNDBoNXB3V2N6S01vdi1VOHRMdnJjVmtNOHRjbHV0Tm5pY2lmT0h1SHBIck5VbF9HaFhtdXdIaEJrUGFTTXQ0?oc=5</t>
  </si>
  <si>
    <t>The sentiment is not 'unrelated' because the headline mentions crude oil prices, which is directly related to the oil market, and although copper market outlook is also mentioned, the reference to crude oil prices suggests that the article still has a strong connection to the oil market.</t>
  </si>
  <si>
    <t>Alberta premier says province working on proposal for new crude oil pipeline to Port of Prince Rupert - Reuters</t>
  </si>
  <si>
    <t>https://news.google.com/rss/articles/CBMi1wFBVV95cUxNRDVXRlV4dWVlVEh6aExKWHV1SEJXZzhTOWVVNlhLQk82RGhCS080MjhLSTdPNmMxNF9LVjVfbTBiRkJCLURYVUhMdG5TZU9wdngzR1FyVzJmcjA5TWNZX09vY2Z0eDU4T1hqSWFwdjVGTzl2TTg2Z1RJNXJRQmc1RGFUa19OblNvRVQ4NnlTVkMzZXZVVEtvRnRmdDBtc0hiMU1KUGFfb2NIdGlrMjBiS0U5VG5xRXhLS1FFWGp1dW9JRk5Ha1VyaTYybHl4Tk1KM0tKdmtEWQ?oc=5</t>
  </si>
  <si>
    <t>The sentiment is 'bullish' because the proposal for a new crude oil pipeline to the Port of Prince Rupert in Alberta signals a potential increase in oil export capacity, which could lead to higher demand and prices for Canadian crude oil.</t>
  </si>
  <si>
    <t>The Global Race to Produce Green Steel - Crude Oil Prices Today | OilPrice.com</t>
  </si>
  <si>
    <t>https://news.google.com/rss/articles/CBMiiwFBVV95cUxNMGZFVW4zNnNZVFE2R1YxSFVNSUwtRlViQmFlWGhnOWdLMlhTVlVBUFFrYzlFOUlyMXphdXVNVEdqNVlfVHluNlAwWVJfc3cyU2NNVWFtVUdxMmJ2cjdnVElQRXo2c1BpZFF0SUEzdnJvWFh0aks2QXJURlNSRlhDWVZSZGt1LWp5OFVJ0gGQAUFVX3lxTE1tSnRmeDR3VDh1MFpjeHc3TFhDbkNDUnByTVBCQ2ZVNElLT29WSjFIckV0ZURnOTFjSkZFWVI0THFKY2o0WWR4XzFCS0FmYWxlcW9lMVVVV3Boc3VPWFhpa3BNZllmallrbUZIdHNtSmlYSUpPOVRLZnlvcTAwTFhlRnRlV21TQmZxWjNRWUhQNA?oc=5</t>
  </si>
  <si>
    <t>The sentiment is 'bearish' because the shift towards green steel production implies a decline in demand for fossil fuels, which could lead to lower crude oil prices in the long run, thereby having a bearish impact on the oil market.</t>
  </si>
  <si>
    <t>Russia's Oil Profits Tumble as Prices Fall and Sanctions Hit - Crude Oil Prices Today | OilPrice.com</t>
  </si>
  <si>
    <t>https://news.google.com/rss/articles/CBMitgFBVV95cUxQZ0FQRnNxLWEyN3drNVhMSFlLYllaRVVrWF9nb2kxeFBSdl80Sy16VjRWeVo0Ymg4U2pxZFNnemdWdkRQYkVSdGQxdnl5T1VXRG0xaERFR1liX0h2MkFSdXZQSjh5aXJRMW8zSWdaZk1lMVFOY0FEOFdaZWt0ZWV0VUtDckplZXRZUHNsN3AzSDkyWDdJbmVjek5ZazhZQnBSUDRRYndpbFBZU1gwbVZVOGdNWGdiQdIBuwFBVV95cUxOZzJFQzdLMlVKb1Jkb2dBME1vS0VOUTBLRnVhcGFnX3NCcHlKX3FBdFd5RHk0Q0NjNjFwZHVrczRKSVIwVGpDSUxBYUtGSVNpejRtYlI1Nm13RjZUWE1kc0xPNHFVNVM1RXBEcnZkN19rWm1DaklXRk9qanEtU3VNRncxNXVPQlZ5ajhwUHk1a1VFZGdXSVluMWtGSjFJZk9vNHlDUzRxaXY0dW1VU2hWMENBZklHWUpJZGU0?oc=5</t>
  </si>
  <si>
    <t>The sentiment is 'bearish' because the headline explicitly states that Russia's oil profits are declining due to falling prices and sanctions, implying a negative outlook for the oil market.</t>
  </si>
  <si>
    <t>World Bank Warns of Worst Global Slowdown Since 2008 - Crude Oil Prices Today | OilPrice.com</t>
  </si>
  <si>
    <t>https://news.google.com/rss/articles/CBMiogFBVV95cUxPUDRwanVDZEU3Z0s2UkRNd1RUZzg2YzNZaFgxbEhqcXVCT1J3ckhPV1lTMTEwSnZfY2dWTHQzcElPQ1F6azVUVjJaM1VNUVlQU3BqVUxXc0JUU0o4UjFKMWh2NmhyWjFoQnlwM2l0R2t1OVZuUTNWa1RSWmlVMjVOcHI0WjZuVzgtaS10VG9fdWpsSUZJY19sd2VWQTFEYWNBX3fSAacBQVVfeXFMTlVEWU93VVNXeHluMXcyMzVTTXlCcllMakZZRjdwdWRhSVVCTXJWYkZUcXE3eWZMVDVfM1dtRTZkQUdpRDlkV1N5XzU3X25EVi04c2J4YmM1VVZCcFoza0dfXzRKbXhiWUtVQ3ZWVFd3LTlJc3d4ZUxqdWYzSEYtV0NJZTQ1RzlUeTczLUZJNzdHMG5qby1YdlR0d0F0djBKVUxnUXY1RTQ?oc=5</t>
  </si>
  <si>
    <t>The sentiment is 'bearish' because the warning of a global slowdown typically signals a decrease in economic activity, which would lead to reduced demand for crude oil and subsequently lower prices.</t>
  </si>
  <si>
    <t>Shell Set to Add 12 Million Tons of LNG Capacity by 2030 - Crude Oil Prices Today | OilPrice.com</t>
  </si>
  <si>
    <t>https://news.google.com/rss/articles/CBMisgFBVV95cUxOSkhqMXNvN3A1dG53amk1MVhjUms2VHlqXzI4Nkw1Y0x4YmlnZjV0eVpBbmRtc3dfMDhJcW95RTBaemc2TXRpNkFMaTVYQzAyRmwtQjVnRlJzam5hazlSOVM5d2EzWnoxbUE1WnUta0xIYUxraWlkUk9FdE5GOXlrQkdxeGZ5ajJjS3E0UE5oblhKN2JnbEVQVmFDVS1tSnhqMEdNUzVoX0QtaDRsUUFpTk930gG3AUFVX3lxTFBQUmFCZTVQUVVaY1dfV1JQR3Y1OEY2dVBBOGdDQkFBOGRmbXpLNDhnN0FYWlVKbDJ5SWFvNWhYa2p5S1hmVzNkVW9EM3gyTTg1dTlDbk1HS0wzOFB4VkRNVmVNTmR2OUVsSHhkalBncDlEOHk1bEpxM3pucmEtQ0h0Yjh6OXgtTFc5QmRkdDljdDFsVW5jekpRUVRKV3FhckdCeFVoeFVFcG5XSmFpS2NhaWlzUlNaOA?oc=5</t>
  </si>
  <si>
    <t>The sentiment is 'bullish' because the announcement of Shell's plans to increase LNG capacity by 12 million tons by 2030 suggests a significant expansion in the global supply of liquefied natural gas, which could lead to increased revenue and profitability for the company and the industry as a whole.</t>
  </si>
  <si>
    <t>Crude Oil Inventories Draw Down, But Oil Products Continue Worrisome Build - Crude Oil Prices Today | OilPrice.com</t>
  </si>
  <si>
    <t>https://news.google.com/rss/articles/CBMitwFBVV95cUxPX1JfZFFoNDZCYVhrenJTSFdVUlNDU0pTVTc0cC1jMWFjZnVYS1BVLUpNd1ZXME5nR0JWTW5FYmxxOWJDQjczXzREbkZKTFh3MnlVeUdZVExPRkFNdzBSQ1VOT3J5aFVjLUlBVTVzVnBXeUxMWEpFX0oxZEt6LTJQSF9lMEZKd1R3bmJUNWNFRWczajR6a0lvS2tLWHJQOEVpSEJzVlRodExhcjhVSHpvUmZ5TS1UeFXSAbwBQVVfeXFMTTRmYl9mLXhjX1BQeXN1UDkyRHFrcDVaeG80ZWFVbDBqNTQzWTBQM3VNSXFQUFhmS3p5akxXQ2hZZGtoTW9mZUtLR00xWXNCd1huWktZYmRVM0pwNXFKWDNraXBTcWRPeGRwS052RDVRdHVlOGZFVXJuYUdDdm5qZ2JmS1FKTW9KTGx5ZFEydVFNWGpScjNnSTFDa1pKZ2xyNGhxNTlneG1fRWE3bzJPUlFraHNUdXJfVHNuQm8?oc=5</t>
  </si>
  <si>
    <t>The sentiment is 'bullish' because the drawdown in crude oil inventories suggests a tightening of supply in the market, which could support higher prices, despite the build in oil products.</t>
  </si>
  <si>
    <t>WTI Spikes Nearly 5% as U.S. Embassy Prepares Iraq Evacuation - Crude Oil Prices Today | OilPrice.com</t>
  </si>
  <si>
    <t>https://news.google.com/rss/articles/CBMitAFBVV95cUxPejFWVUo0ck1tSjB1ZEltQlpFZmUzejBjMC1SQ0pSMjAzMU9ORTdvX1R4Y05HeHdvLVprWU5uSXJSUVdCVEJNT1lVaGxFaHE1ZWVacGxidEJEUnEzdExmeTY3aWN0bEs4a3g5OVdkRTdvWHFzX2hVMlhySXdONjRsSldwZzFRYy1UWi0ybG44eUZ4WWItcms0U0lEVWJ6MWRXUEJ1V1ZHWXUzTHBRaWcyNndmcmPSAboBQVVfeXFMTV9GUVcxM0JOVUVIcDVTNTR5WEgyaGx4THNPY1FxLTVLZmp6a2VMdzhCMlBtU3FGYTBIVExVb2ZXWVd0SzA5aEtRcnRfaVN5b2FDNUlEU3ZYYjdiNzNqWW1uLVROQ0hBUGdRNVV5akFfM0xVcUdCTVl0OVVIU2YtMkpvNFBfOVRkeWJYc3h6WS02V2diOVI3endRWFpMQ3J0M1VCU0xqbHlNVEJuSjVQT3dXTWpoaUZ5RVln?oc=5</t>
  </si>
  <si>
    <t>The sentiment is 'bullish' because the headline suggests a sudden and significant increase in WTI prices, driven by a geopolitical event that raises concerns about potential supply disruptions, which is typically a bullish factor for oil prices.</t>
  </si>
  <si>
    <t>Trans Mountain Eyes Pipeline Capacity Increase by Early 2027 - Bloomberg.com</t>
  </si>
  <si>
    <t>https://news.google.com/rss/articles/CBMiuwFBVV95cUxOR2xUUFRuSWZFRWRSNVdxeUVRRk1iTEpITkdXZFhSc3hYcVVtcHVBeUJjZ0MzM2dfTDRaQlFURzJ3TlRRQWExLXY0UzVhN2ItMWY0NU53VEZDVlYwVjJWcVhNTHRiTk5lOGcwZU5fMkV1WW96UU5RYTVicnlITmVKcWJZa0Rwc3RnODBVdDdZS3d4NjFUU0RXVFdlcXAzQlBWS1pZWnhNLUx0bXVRd0ttdDA2czZtNzYyWV9F?oc=5</t>
  </si>
  <si>
    <t>The sentiment is 'bullish' because an increase in pipeline capacity by early 2027 is likely to boost the transportation of Canadian crude oil to refineries and export markets, potentially supporting higher production and prices in the near term.</t>
  </si>
  <si>
    <t>Oil Steadies as Traders Parse US-China Framework Deal on Trade - Bloomberg.com</t>
  </si>
  <si>
    <t>https://news.google.com/rss/articles/CBMinwFBVV95cUxNczk4ZEJUM29fRVlkQ2hMTExKaVJ4cHFseFdtT3RhWW40UkhEWmZ3VmdDZEJtVXJTMkVBTDctYnNYZ2RvOWhFZUJYbUlYUF91eE5FOUxUSVp2UFpuNEZIYjB1cG5TTFMxVXFGalRYdmp0WkZCd3J4ZDM0cVUxamVIdUdpcVRXR0JrWmc4T2ZDSGZJOUo4Z1RQWTBrNm9SdFE?oc=5</t>
  </si>
  <si>
    <t>The sentiment is not 'unrelated' because the headline explicitly mentions a trade deal between the US and China, which has a direct impact on the global economy and hence the oil market, making the sentiment of the headline related to the oil market.</t>
  </si>
  <si>
    <t>Oil prices jumps 4% to 2-month high as tensions rise in Middle East - Reuters</t>
  </si>
  <si>
    <t>https://news.google.com/rss/articles/CBMisAFBVV95cUxOQ2kwWGNQVnJNYjhQY0pwQzJWWFBKY0d5bDdJOEwzbmx2UXJBRkRfQ2NCMUpkZnVJbTJEZnYwVV9PWVZNblpHTHczYm9FeU5tdW84Z080S3k3ajRFU0dyRmg5NGgzYlRkNmpLUUhtUXdBWDJBem9CVmtNYXJkcWRRajJ3cncxWFdMTzBCNjh2WE5SZGtnZ1d0M3N2bGpwYTNGa0RsRzVsVm5YS0VfU3hDdg?oc=5</t>
  </si>
  <si>
    <t>The sentiment is 'bullish' because the headline indicates a sudden and significant 4% increase in oil prices to a 2-month high, driven by rising tensions in the Middle East, which suggests a potential supply disruption and increased demand for oil.</t>
  </si>
  <si>
    <t>Indiaâ€™s State Oil Refiners Plan Tanker Order for Domestic Use - Bloomberg.com</t>
  </si>
  <si>
    <t>https://news.google.com/rss/articles/CBMisgFBVV95cUxQU0xQNVlhakhNUTFUUjFzcXhPdXAxd0k4VnhfY0JzTWxrWjk2aFlGVGxBWGpZSm5wWE9Gc3BkdWVIY0J3SXItY1F0bk9HWDhpaTFFRDVaZmVzbm96N2tkOUdYVHlZYUw0TkRyWTFGTzl3QkRTX1ZYSkEtbDJ3MEd6ZTNSNTZ5M196V1JNY3h1TXFpZHhuUjFjNW5QQWN6YUcxdHlqemh2alo5SjJXRk9BU0FB?oc=5</t>
  </si>
  <si>
    <t>The sentiment is 'bullish' because an increase in tanker orders for domestic use suggests a potential growth in India's oil demand, which could have a positive impact on the country's refining sector and the global oil market as a whole.</t>
  </si>
  <si>
    <t>OPEC Chief Claims Oil Demand Growth Is Here to Stay - Crude Oil Prices Today | OilPrice.com</t>
  </si>
  <si>
    <t>https://news.google.com/rss/articles/CBMiqwFBVV95cUxNcFloRmVJRF9LSmNFM01udi13SzE0Z2otTXBoRVJCWno3bHZXc3NVMmVDR2xkUXk4V2s3QVFpczBJYzZIdG1mVTA5U0MtV3dldjR5SEtMdTNhX1VmbzdjMVpvTmxmQzBFNHV6MGRmaWxqQkFUWWVyMTMzRzk3R1o0NDl0c1Y2ei14MGV3cnkwT3N5X3pGX2xYckVOc1BSRW0xYmpqWVZrSWcyTXfSAbABQVVfeXFMUGF3WjQwWVoyZmxuT3FVWXV5MjV6UC02UElsR2lOUUd1UGxSTFc4Qk8tb093WVJpeE5mX2QtVE55QTlmd1VLN1ZrU1pzZHozM3lyZEZoSi1mSW9DQjQ3eHROOTVKMUdHN2dDdS1sS1ZRS1Z6SUhaaXF0R1R5czRkTmN5Z0ZiZ3JwbzVFQzNEZFV1LVBUN1dSdjdEV1YyZnZEMmMxLWdYejcwaFNHdjBOWjY?oc=5</t>
  </si>
  <si>
    <t>The sentiment is 'bullish' because the OPEC Chief's claim suggests that the Organization of the Petroleum Exporting Countries (OPEC) expects oil demand to continue increasing, which would likely lead to higher crude oil prices and a tighter market.</t>
  </si>
  <si>
    <t>Saudi Aramco To Send Less Crude to China in July - Crude Oil Prices Today | OilPrice.com</t>
  </si>
  <si>
    <t>https://news.google.com/rss/articles/CBMikAFBVV95cUxOQml0bzVSc0daZnk1OWsyeURvZ04xRXN1YlRJeFpCWnEtTVA2TDhsWnJwUHBSUFFfX0g1d3lZT1BocDZtSHhsUlNrN1d5NDk4aUdhWTY3dld0OHdfa1VwUVljUG9mbW42aUMxVEFOR3oxOWpSOWswazUxcTdYclZxLUprd1E5R29ocDJkQWQwRUTSAZYBQVVfeXFMUEZqNTNVZ0tCWlVKWEs0X3UyZmp2d2dVZ0NIdzFlYkJyUmp6UmJEY1FaVm5ieU1EMmp5YjdVSTB2QlAzR2dkNFdYZGdLQXFyUGtvTzhXUWY3Nm5IUlNhUjZBSDBacVVMUlI3Y1FITE10QUZNQVd6Zk93eTVGdzNiRlRONkJIcjZYcTFEZXliXzAtN3hFMmtR?oc=5</t>
  </si>
  <si>
    <t>The sentiment is 'bearish' because a decrease in crude oil exports to China, the world's largest oil importer, suggests weaker demand, which could lead to a surplus in the global oil market and put downward pressure on oil prices.</t>
  </si>
  <si>
    <t>Saudi $5 Billion Loan to Nigeria Hangs in the Balance After Crude Prices Plunge - Crude Oil Prices Today | OilPrice.com</t>
  </si>
  <si>
    <t>https://news.google.com/rss/articles/CBMiywFBVV95cUxQcmRZaG84dkhTUTNuT0EySWJ5QXdTT3VWQkpjNXN0NnY3Rkkwaks0a2ppZERZeTQyMThpZEpSeHZFSzJYVFZ1bU5XbEdPdk9lS200X25faFZCd0JMRS0tRkJwQXBhaGo2SWhQY3hBMkItdUVaRXM1bUF5SVFaOUljRUtqN1ZfWEV5a0hCUlBfY3RFT3hsWlJzbm1UR2kzeWZwd1RIa09SWE9WQS1MOHJiT2YtUEtiTjYta1Fta0VNR2pDRE9nYmNkeWhjRdIB0AFBVV95cUxNdEVGT2xjdUhHVkJnSy1FekFNZldOdUlRN25BaHVKSS1SRW9FekdVcGZhLWY0RGs4Zy1vaHpFb1pWLXVOS0VNczVROVlxSHNZa2tnSzBiTWpUWHR4SFB3NjN3VExNM1ZacmppMEFacUNoRUExSEJ6TXo0WUNoWEpSTWpLcXU2c2paMUdPN25iSHY1NUxrSFRkWFNQbU1uMGVhb2ZCZFFYYThkUWhyUGdKTXdTa1pIVkNfTC05OWFNTGxQTF91NnZfM0hVdlp1ZU1H?oc=5</t>
  </si>
  <si>
    <t>The sentiment is 'bearish' because the article suggests that a potential loan from Saudi Arabia to Nigeria is uncertain due to the recent drop in crude oil prices, implying a negative outcome for Nigeria's economy and the oil market.</t>
  </si>
  <si>
    <t>No rush for US energy as Asia's imports slip under Trump - Reuters</t>
  </si>
  <si>
    <t>https://news.google.com/rss/articles/CBMisgFBVV95cUxPZjg5RGhnQmtmRnpNbHdNRHlLSG45Y05yd0VIbU0yekVkdl9XM2tKRFZnMnRaUWN1Q24yc1huQWlmWlcyYjQ2SVpqaS1KdEtXeE9iREVkekNFNXFHRHpBcFA5aTV4Qm5JNERuYlcyX3FYa24wT19yNF9kbkJFZm80VE4wMXdkZUo5dDJGdXEtQmxwR3JneG1NblF4eWthYXc4V1ktenlLYXQ1akVhOTZkSzZB?oc=5</t>
  </si>
  <si>
    <t>The sentiment is 'bearish' because a decrease in Asia's energy imports under Trump signals a decline in global demand, which could lead to a surplus in the oil market and put downward pressure on prices.</t>
  </si>
  <si>
    <t>Permian Oil Producers Face Higher Costs With New Saltwater Rules - Crude Oil Prices Today | OilPrice.com</t>
  </si>
  <si>
    <t>https://news.google.com/rss/articles/CBMivAFBVV95cUxPVllmc09vUzhqdUxiOHFxaC14MGlSQlM1dXVJOEFkOEtsYWNSSWtOb1VGNlllNjNLUFZmQUhxbVJUTzY4d3BSZzBvZGhtakJvWUxoS0cwc2gzdHJ3anYwVUhjYXFVOTQ2TE9YX21Jc2tjRE1PRXcyU0FMQU1uTy04OEt4dVQ5bmg4OGxyVDBpdTRhZ2h2V3VRbzgwTzg4Y3VweHZiWHhBbGJWV04wejJmdGFmUlQzaGFfSk9ENtIBwgFBVV95cUxQX3h5R1JBeUdPVzUwLXJNMGo4ZkZsSm9PMlBuSEY0eEFmY05uTndka2FJTEF2V1pHNkIxNEtUblEta2lwTkMzdlkxVTJZeWRuWVpuUVZYWTdUdDhKRlFFRU5DQUFXVFZBa0NwU1dyQy1Ccm1VcjVnbzdORlJsME94MFBaTUlrMnV5Y2NTa3FlSm43czJQU2tvQXpQRWlWY1RyZVlRem16ZTkwZHc5bGZYMEJpeVNnOUI4LWNqRFZtVklWQQ?oc=5</t>
  </si>
  <si>
    <t>The sentiment is not 'bullish' because the headline suggests that Permian oil producers will face higher costs due to new saltwater rules, which could lead to increased production expenses and potentially lower profit margins, ultimately bearish for oil producers' bottom line.</t>
  </si>
  <si>
    <t>EU Aims for $45 Oil Price Cap and Nord Stream Ban in New Sanctions - Crude Oil Prices Today | OilPrice.com</t>
  </si>
  <si>
    <t>https://news.google.com/rss/articles/CBMiswFBVV95cUxPc0swN0J0MHhoZ0FPQ1R0NjhWR0NTMXZOSXlKTk5iNEwweEFnd2g4di1HYmZDRXppalZXRnJ2SFJ2cEF6MXlSbUJuMjA5Nk5nRFBzeW5aZUE1Y0UzYzJzMjBuVDFBai1SZFZpMkdCZ3EzR3JHWUJMM1NNaFVsS1g1aUxoaTQwTnZmU3U3bXVNQk5qWExoN0xXcWE1TmY5VUhEQ1FRclVDbWV0WVZMOFByQlgzY9IBuAFBVV95cUxNSlhodDBObHNidVU4dDd2R19OQ2FnRk4ydk5fTXU5cC1POWtaQ2JUalQ4UlgwM2pHSlNQSUtDak5VdVh3Nm9JWk9ZU0VkbVNnX25GclBoZTVOZVBEbW9LWERVYV9YVlJYcmd5Qm1jM2hkT04xQ3FVMWhnY3M3Qy1CLXM5UWlLRFJLLUlIOFFjbG9hTldSWGUwQjdQN2xKZDRaZEtfcmw0VXlIVHdISkVJaWM5VTZvLWh2?oc=5</t>
  </si>
  <si>
    <t>The sentiment is 'bearish' because the proposed oil price cap and Nord Stream ban are likely to tighten the global oil supply, which would put downward pressure on oil prices, making it a negative development for the oil market.</t>
  </si>
  <si>
    <t>Oil Starts Summer on Borrowed Time as OPEC+ Fuels Surplus Threat - Bloomberg.com</t>
  </si>
  <si>
    <t>https://news.google.com/rss/articles/CBMitAFBVV95cUxOM2VGZFBvMWR0RnctdFdYSnlqRk9JZU1ZbEJMZk95ekZTNDg2dk9kSjFUcXFfQUdOeTRuWXpyaU9Jdmh5SGlrTmtrXzQzNGhYV0liVG1VOUlsa1pYWTdfNF9ISzNlU0EyU0RiOGxtd2JhellyaVUyVmRicVYtQVRDVFdBWjYydHdwd1h5M0N6NDJrSzBpOE50MkhETlBlaTQ3U3RBT2NwZ1dfVktWMjcyZnJHOEE?oc=5</t>
  </si>
  <si>
    <t>The sentiment is 'bearish' because the headline implies that OPEC+'s actions are likely to lead to a surplus in the oil market, which would put downward pressure on oil prices and hence be bearish for the market.</t>
  </si>
  <si>
    <t>Record US Gulf Oil Output to Soften 2026 Production Decline - Bloomberg.com</t>
  </si>
  <si>
    <t>https://news.google.com/rss/articles/CBMitAFBVV95cUxQQ1FheUFoNjJEUUVmZjFvNEtrR0J0bkZIVkVrZ0MxT3hubDlnQlFibVk5R1pLZ3hIMGZTYUtETXhqQVEtZVJXNERmU0xhR016UDhwWjdhb0xjcXo5UEhaOXhaZW8wQl9FNE1QQzVwbVE0c2FfUlZKYUxNa08yQlZsQUVPX2l1ckJtTlRrN3BjTHR4dFFmelIyUk9TSlRENzVXajdDYUxiMVJscVMxb194NGFUN0I?oc=5</t>
  </si>
  <si>
    <t>The sentiment is not 'bearish' because the headline suggests that record US Gulf oil output will soften, or mitigate, a production decline in 2026, implying a more stable or even slightly bullish outlook for oil production, rather than a fundamentally bearish one.</t>
  </si>
  <si>
    <t>Gasoline, Distillate Builds Spook Oil Markets - Crude Oil Prices Today | OilPrice.com</t>
  </si>
  <si>
    <t>https://news.google.com/rss/articles/CBMiogFBVV95cUxQcDBoME94V2pmTWNpZlhHbDE2alFjWklYck9aQm43bEFCV2dINWI0Z2d1OEZRbk80d1B3aWxuV1dSSGxfUVlnVmpTTUNrb2hUMWhLdmFKZE1teF9LRVJaOVRxUk5jTklXck03dmRiWDlKOG1aeGVLSmxiRkZ2b29XLUpGZkJ5WkJoMWZCNzJQYWR3dzQ4OXAzRnhSYlE4V3pkMVHSAacBQVVfeXFMTU9QaS1JUnc2elBmTWk4a2FKdjZIc1FhMUlwV2hSbHdhUnFON1pNc0paclhjejZHcW45X250d3hwM3dwdTBDT2ZseE1fdHBxaHhtLVRuaXd6NlI3WlFBNmZ5SFE5LWhSdThLelVKUGZJYkIyVDJYYUpJcm9yakdkLUp1QlhCZUJYejcwdmpSeUFCekQzYUZtRWRFekZucDVCclhfMXROWjg?oc=5</t>
  </si>
  <si>
    <t>The sentiment is 'bearish' because a build in gasoline and distillate inventories typically indicates a surplus of supply over demand, which can lead to downward pressure on crude oil prices.</t>
  </si>
  <si>
    <t>US Sees Oil Output Falling in 2026 in Blow to Trumpâ€™s Agenda - Bloomberg.com</t>
  </si>
  <si>
    <t>https://news.google.com/rss/articles/CBMisAFBVV95cUxPb2JDOWV2TUZHRE9fM2IzM29NdUptT2Q2c2RBcG0zSm9KOVI1aDdEbGUzX0hscWROUW12ZDNHUG12UkVCNEJicE1YaFBqU2VzLWlSMVlGa015REdFQjdic1ZKZV9OQU9Xcnp2Y2Y5UGdXYmU1N1I0bXVzaXFSb1hXVTR2aDRNVFdOa0lqUmtsMWF1SU1laHJYcE1yWl9tWXNaWFk0bVE0VjdyaGdic3NfYQ?oc=5</t>
  </si>
  <si>
    <t>The sentiment is not 'bullish' because a decline in US oil output in 2026 would likely lead to reduced global supply, supporting higher oil prices, which would be bearish for consumers and the economy, not bullish.</t>
  </si>
  <si>
    <t>Putin Extends Russian Oil Export Ban to Price Cap Countries Through 2025 - Crude Oil Prices Today | OilPrice.com</t>
  </si>
  <si>
    <t>https://news.google.com/rss/articles/CBMixwFBVV95cUxNVmpweEpwUzEtTFRmYWQzUnNBczFQYTVWelUyaEtkaFFRTGJLNWNJQ29hanZyLVNXNGhfdkk3d0kxeXptT25RM0g3QmJuQ1BMeHJvaVpoN2U3d3hDY0toN2l0cmU5WjBZTlJQVjluNUhoc3pEN1B6Y2xiZnRpS2h3QjE1c19fel93R2dxcVd6NGRSa19UeFhzMlRCN296VXR5c0tweEtETFJtQWE5NTlyQ3JqdEVka0FIWkFELW9WeVkwaS1aNC1J0gHMAUFVX3lxTFBGU2ZBZFFDZElzZkN6ZzhTUkJFQi1IWUVINThNUlpheGFiZEZ6WmJnTnpYNXo2NTNnNDV4NFAtMkpfZy1RRGd0UFJmMTFGdl9WY1drQXl5amVrLW1GaDlXWjJMT0ZzZ1dqenphbVFrTTZjNmJLQ0MtUTNyT3lYVEV3WDYxVmJOOUM5RUhkRy1pdGRRSTB4SEJXOXRBYnNQT2tJZDV6V1lXUDNQQ1JNS2RSeUJEUXZMQTR4NHhkLXZEb0lnXzVHQzlIeWFJag?oc=5</t>
  </si>
  <si>
    <t>The sentiment is 'bullish' because the extension of the Russian oil export ban to price cap countries through 2025 implies a reduction in global oil supply, which could lead to higher crude oil prices, benefiting oil producers and bullish investors.</t>
  </si>
  <si>
    <t>Oil Holds Advance as Traders Track US-China Trade Negotiations - Bloomberg.com</t>
  </si>
  <si>
    <t>https://news.google.com/rss/articles/CBMinwFBVV95cUxPZDJtYnpIOW1YQjZVaFVoaFhBYUhOQTNoMEZPZHRPb0g4YnQ2NmkxQlJ0TDQtd0d2a1NfY2ZCUlRqVHNNUWd5Q3FQeV9MRG1nVEdWZXRNTGREdUFVR2FNdjhFQ1BrMmNxMmphRE9WWWVFdmdpWjFzTXB1R3E5OHRQbDRwVjdsYjhVT1MwZ0QtaXBHX2pHYkl2aThCYmdTSm8?oc=5</t>
  </si>
  <si>
    <t>The sentiment is 'bullish' because the headline suggests that oil prices are holding onto gains, implying a sense of stability and upward momentum in the market, which is likely driven by optimism surrounding the ongoing US-China trade negotiations.</t>
  </si>
  <si>
    <t>Oil prices hold near 7-week high as market waits for news from US-China trade talks - Reuters</t>
  </si>
  <si>
    <t>https://news.google.com/rss/articles/CBMipAFBVV95cUxPQjRScWdObjVibTYxNXJpZTk3SnBjWUtfWGFFWmo4aVVCNHp3QUxvMlFGWG5kWjVhbk8yOGZHMjRkdUJySHozdnp5OWpzbmR6bTlQNVBVWmtLLVFqbVoxUnI1UmFmWVJjdEwyay0zNUFsQnRKYXkybXNSSXJrTlo3YTByZlI1T29VSXhsLVFUMUdfa0tKOUpXZTcyX0UwNWdnenFkWA?oc=5</t>
  </si>
  <si>
    <t>The sentiment is 'bullish' because the phrase "hold near 7-week high" suggests that oil prices are stable and resisting downward pressure, implying that market participants are optimistic about the outcome of the US-China trade talks, which could lead to increased demand and higher prices.</t>
  </si>
  <si>
    <t>US depends on Canadian oil, despite Trump's comments, Cenovus CEO says - Reuters</t>
  </si>
  <si>
    <t>https://news.google.com/rss/articles/CBMivwFBVV95cUxPYzQ5QXI0dXFYRWhWTDNnMThnTTNneElGWnNOby1lNDdDdGpqdnNmdWd6VnNKQ2cwbnFGb0lrcFBleS1iOEFkRDVScDVoMlhWQ3FleEZoc1ZzZkVPdVZKUjdPcWNyMEFiNkRrN3ZPcFI1YlFGV0dXOUljZUtUQktsMVR4VkZoX0FjOUtKTlBvWF92QlB4MlNmU1NGZlo0djYwZm1COGN0a2lETmhCS2lTQVdkcHJ5T2VPcWFNQTV4Zw?oc=5</t>
  </si>
  <si>
    <t>The sentiment is 'bullish' because the headline implies that the US will continue to rely on Canadian oil, which suggests a steady demand for Canadian oil exports, thereby supporting the oil price and the profitability of oil producers like Cenovus.</t>
  </si>
  <si>
    <t>Oil demand growth to continue, no peak in sight, OPEC Secretary General says - Reuters</t>
  </si>
  <si>
    <t>https://news.google.com/rss/articles/CBMivAFBVV95cUxPR2hMNUhHcXFQOF9zQ3I0T0hWRXdfVzAtdDIwLUJZTGFVWEg5cDRaajduc245djNXcFZJdm9IdFZUNWpOMWhJZmM1NGEzNkVlUFNaWDc2LXljb0RZcXVELWI3U0hpTllqYl85SllqdWhlVi0wX2FsSm9YRmdnRXdFRkhOa0E3N291NmNnay1jQlR5RzV5Q2VfbmhJRlBRTzRUOGM1QlFuY0F5ZV9iUzZOZ01rdk0wbmFtcmVxZA?oc=5</t>
  </si>
  <si>
    <t>The sentiment is 'bullish' because the OPEC Secretary General's statement suggests that oil demand will continue to grow, indicating a positive outlook for oil prices and the industry as a whole, which is typically associated with a bullish sentiment.</t>
  </si>
  <si>
    <t>Taiyo Oil buys first Russian crude in more than two years on government request - Reuters</t>
  </si>
  <si>
    <t>https://news.google.com/rss/articles/CBMi4wFBVV95cUxPUUh2dTNUY3VUZGNUdXluMGs2WkpUSzZ1aml0cFBuYTlMdDBGbzh5U0lLdzhMYWZnaW9rWURYVldDZmozSlZTc1NOQmlwTFE5WmNZNTlxX2pZR2hGdFJzSEM0dDZpai0yU0d1eHVfU2ltQlJzS1dNVXF4THBTalJiZnBXYlhXYndxd3ExODdjMEVieVdZTjRpRksxWi1BUTUyNVFUOGpUZFl0MmxLOURpd25kcWNuNVVZcFZQZ1VRVWl5cHdGU2JyRzZNemtPeXJLbEsxWUdNdDc2REJHMHBaejQ1cw?oc=5</t>
  </si>
  <si>
    <t>The sentiment is 'bullish' because the purchase of Russian crude by Taiyo Oil, despite international sanctions, suggests that the Japanese government is taking steps to secure energy supplies, which could help alleviate concerns about oil supply disruptions and contribute to a more stable oil market.</t>
  </si>
  <si>
    <t>Bidders Line Up to Buy Macquarie's $3.6-Billion Industrial Gas Firm - Crude Oil Prices Today | OilPrice.com</t>
  </si>
  <si>
    <t>https://news.google.com/rss/articles/CBMivAFBVV95cUxQVy05dmhpak5PNXFWb1p3TVZvbTNMS3oyVFo2cDhpME9UMDdmdHBmNmFsSzRXTUZhbnFfNXFSR1FuTzRDQ0lwWnBXV0lGTXc3X241aTVDUFJfT05YSGtmX2dBV2h1UTBQQzhTbnF3SDkxRUFnR3pLUzNpbE9BbXR4V3ZVbHY1MEpZTWNyTkNMdE9YVXBfSlNlX2ZaVllXZFVxb2hhSmFlbkJ2cU1VSXgyNl9WbDNoNTRVODUtStIBwgFBVV95cUxOamtDNFVZMFA4MkNKbDBtbjF5cjVhSXU1RVhLT0Nld2I1ZTE5NE5rZ1Y0em5QQnRIWVlQLXBscVdnVUE3NFl5Q0htV3c3Nkl3QkxHd04yc1pVa0RKMnR5NF9RUjJ2MGJtVnVFTS11ekttUUpVVFF4UjNvRG8yRjBRSFJxVVFKMVhTeW5pQks2LXJzSE9mMFc4R2NTQ1VfNHFsM2JYMDRBaXJlcW5kaFpSTjNWSEswam5SREdvVS1ScGJWdw?oc=5</t>
  </si>
  <si>
    <t>The sentiment is 'unrelated' because the headline is primarily about the sale of an industrial gas firm, which is not directly related to crude oil prices, despite being featured on an oil-focused website.</t>
  </si>
  <si>
    <t>India Solar Power Generation Surges as Coal Makes a Rare Retreat - Crude Oil Prices Today | OilPrice.com</t>
  </si>
  <si>
    <t>https://news.google.com/rss/articles/CBMivAFBVV95cUxPSWVFMDBFWElTOFVucE4talRDS1Bfei1wdmVqQkk2LW9aSVlvQVhHM3I0SDVOcVd2QngwTm5xNVl2T0hBMkZfMVg3OXhXa1FHTGZoQnFGQjdiUkxidWY1cTZxYUVXNlZadEdmaFRQeEVtQzFNT1B3SXNhNXVRZG1zckZMNW1uMUNMM0xuQXBjUGczWjA4SGczNldjTnZsZHhRTDBPWnZpOGhxdThxSk9lWnlReWNKejZGNTc2MtIBwgFBVV95cUxOVGE4Y0JOenh5OVhMclNfTEZmTXYtbjR6ekRHQTJLdzlYaXpNb3MwQlVienBZdVNVdEtpcWdjUDZiOG9uaF9wdDUtUUhYNGVXa3NZWXpNRVVmQ0tHVlVzdFhBYVVpZGE5djFrSzJrMzc3NUdZazNmTGpfb2lKQVhka0xVeHFYcW5oY2RDUWIyakxuWWtXcjNEZ3hSTDM3Tjc2c1I4RFlTQ0hWZEE5cjhMS3pBdnBsYVY1eW91WExhUGxhdw?oc=5</t>
  </si>
  <si>
    <t>The sentiment is 'bearish' because the headline suggests that solar power generation is increasing, which could lead to a decrease in demand for fossil fuels, including crude oil, thereby putting downward pressure on oil prices.</t>
  </si>
  <si>
    <t>Boeing books 303 new orders, hits 737 MAX production target in blockbuster May - Reuters</t>
  </si>
  <si>
    <t>https://news.google.com/rss/articles/CBMi0wFBVV95cUxOYm5jaEF4MHNtdzNMTjhlRXB5RHJBWWN0cnNlSy13Mm0wMHZsVEJUYzdyN2JQSEttekhKTHdfSXltTHhOLVRxVnRfVlZKT1VTWlFlaFN0c0tQY1BuVG1aWE10cmVMUnYwREYtZU05cmtqQXh6cFJ4WDh4UHhNQ1lfN1QxNkNNVElnU1BJSGR1emZKZ3dBN18zcS1YN0tLZG9BZXc4QU1kTGxhc05CZUNBLTlJQm1hRDhlNzlxSl9WTVBMTEp6LUdfN2pXZ09HMVp5aTdz?oc=5</t>
  </si>
  <si>
    <t>The sentiment is 'unrelated' because this news article about Boeing's performance in the aerospace industry has no direct connection to the oil market, and its content does not provide any relevant information or insight that could impact oil prices or the overall oil market.</t>
  </si>
  <si>
    <t>Russiaâ€™s Crude Shipments Rebound With a Rare Delivery to Japan - Bloomberg.com</t>
  </si>
  <si>
    <t>https://news.google.com/rss/articles/CBMirgFBVV95cUxQZjdXUUFkN2VpNC1nTWkyZFF1cWd3QTFnSzRoeVRFUE9pSkRCdC0zdlFTVGhLZ2Q0aUk2MG8zcFNrVWpVRDdRb2Y2bnVLYWdZVDNKQU1UamE2MnZNZURYSkhZNGxxamxyQmlGcmlrelRQNWh5emFBM0JYYk9WSzVUVWdvcjQyY2pFOUJBSTRPU0dGYklsZmd4WGxnbjIxLTA5anBpUmFLOVJ3M0VWa3c?oc=5</t>
  </si>
  <si>
    <t>The sentiment is 'bullish' because the rebound in Russia's crude shipments, particularly to a significant consumer like Japan, suggests an increase in demand and a potential tightening of the global oil market, which could support prices.</t>
  </si>
  <si>
    <t>Cenovus CEO Says U.S. Still Relies Heavily on Canadian Oil - Crude Oil Prices Today | OilPrice.com</t>
  </si>
  <si>
    <t>https://news.google.com/rss/articles/CBMimwFBVV95cUxNdHpZTDN6Q0NkejNjWlloMXJnQ2xfOFdBclJlMzRXSE85YlpIakRjNk1ZS1MySWVPZmo2Sk1aS3VpbzdKQ2VOYVp3TXFxTTlsTGFBWXg4Znc0WUo1ZmVqVUtUUDc3Ulg4YUY1ZmtkWl9aYXd5NktadlhnUUhLWU93ZmtrUmR1V29ITm1sOGJUR2ZmM0ZmY0xva3k0TdIBoAFBVV95cUxPa0Zmc1gzdnNYa290R1pwWFZMLWdCcEpEVXRtUWJrQ0xmSzhRMVc5YWRPaE9SRGFod01TWUhIRjgwcG5NbU1wV3h0ZlRkS0thN1ExR1gtLVFCU054bzlxTTlFTW1ON1JMU3JZSE5wb29vbXJ0cnlYcHh2NXFZcnlMYjFLMXBENzZJa0dTOXJUYzU1UzZjTC1heExkbVRFWjN6?oc=5</t>
  </si>
  <si>
    <t>The sentiment is 'bullish' because the headline suggests that the demand for Canadian oil from the U.S. remains strong, which could lead to increased production and sales for Canadian oil companies, thereby supporting oil prices.</t>
  </si>
  <si>
    <t>Optimism Returns to Oil Markets - Crude Oil Prices Today | OilPrice.com</t>
  </si>
  <si>
    <t>https://news.google.com/rss/articles/CBMihgFBVV95cUxQUnFudlh0WFh6Z0V3RGRSak5NVFFDZThQTVFNcE9tRWh1R2l5YkZyQzFBaElXbHFRLXZGTjRENl9iYmNJLUV0bXFxaE4wUVUzWXJzTVd6WFhvZGExV1dFT2M2RDNjNWlnYWpHSXNBdFdwZjZhdW1CVmp5akVkV2l1ekZFSTYwUdIBiwFBVV95cUxPeUdFQmNWSHNwUmVkQ0V3UHBsb0ZxOW5rMWZFOU9RUVdQdEU3ZEpCMUx4NkoxaG1RcFNYOVpXekhyMVltTkktT2o5UU9FTGxKeU15UXlvWS10UjI4aUptT0dOZ0dXY1VnMHR4NDZDNzhJalZSRWJNQWpSN2Z4b2taXzFNaUl5ZXJWM01N?oc=5</t>
  </si>
  <si>
    <t>The sentiment is 'bullish' because the phrase "Optimism Returns" explicitly conveys a positive outlook, implying that market participants are becoming more confident in the oil market, which typically corresponds with rising prices and a generally upbeat sentiment.</t>
  </si>
  <si>
    <t>Natural Gas Boom to Heat Up in Texas - Crude Oil Prices Today | OilPrice.com</t>
  </si>
  <si>
    <t>https://news.google.com/rss/articles/CBMiiAFBVV95cUxOakM3ZENRQlNHRzBsZEdMd0ZVbnE1dldTWnl3VXpxUTFRejN3ZDVUdGJBajQxWkQyMGJKb3RxNW1YYW4zcFJsUTlVazdxQ0E3RVhIRC1SbjM3MC1pZnkwVzZWSmM3R05nREVfWVZFOWhMVnlxNk5Tb1NDVGdqZFNkODNSZjNaVWxZ0gGOAUFVX3lxTFBFWlE2ckJaM3pjRGdqUnpmQ0RaOW9ad0RBbjNybzRNZ0JzWmxQXzhLTlkxcFp1SjQtVmd1cTdwT203QnlUYXVhOFhRcHAzVk5XdDdMLS1pWVdOSVNnVmZINXJPeGQxRE1CbUtweWlycWJHMDQxT18zXzNLWTFxSGgwNjVDeTdPN0RBTEJOckE?oc=5</t>
  </si>
  <si>
    <t>The sentiment is not 'unrelated' because the headline explicitly mentions "Crude Oil Prices Today" which establishes a direct link between the natural gas boom in Texas and the crude oil market, suggesting a potential correlation or impact on oil prices.</t>
  </si>
  <si>
    <t>Oil Prices Could Sink Below $50 This Year - Crude Oil Prices Today | OilPrice.com</t>
  </si>
  <si>
    <t>https://news.google.com/rss/articles/CBMikgFBVV95cUxOaHFEU2dpbHRHU0RlSXB4aXdtV2oxWGtLbTR6RlZ1Tk4yZE5fMVNobVlocDFRZksySDJiMjhlc0FTV2pFUkRkYTlkLTBWUTFQOU82aklMWkJTcXdMSzRyUi1sSkFJWEVKUEFPZUNjSDFiQ3drRmM0a1RHWnkyUjJHbUxmc3VQYk1xYlNBRVR4N2p4QdIBlwFBVV95cUxQUWNEY1VUTWRUdjBNSi1WN3l1eEl6VGFXcnYyTGhrRWVWbUM0bm4tQktYSGp6MVBWeTRxQ2ZGdTNudkl3SjZac3I4MTZZM3l1VVIxU2o5TzRsR29QYTVIc3VYd1BsNFFPZ0s5b1dTM2dBVDFpMUNqWlJPQlUyTjRmQmZtT0k0LVhhNDE4LWRUSDdSQU9KWnJB?oc=5</t>
  </si>
  <si>
    <t>The sentiment is 'bearish' because the headline suggests a potential decline in oil prices below $50, implying a negative outlook for the market, which is typically associated with bearish sentiment.</t>
  </si>
  <si>
    <t>EIA Calls Peak Shale as Drilling Activity Declines - Crude Oil Prices Today | OilPrice.com</t>
  </si>
  <si>
    <t>https://news.google.com/rss/articles/CBMiqgFBVV95cUxNY3N1Q0FhYXlYMjRLRU9KOWxIRGw0S011ZzBheXNkcHlRV2JVOENpZVAxZUJRUEU0dzNOcm9PS0JLcllITjNkSVgzdVdNRE1nbURDLXpGa2F4b1BiS0UxZjZvZ0g4S2J4NG1ITmNKalYxN1AwZDJUSmo1UWJaWnhNdmc0TlFuNXJsMTRBZ01GTGlweWJoZDJyclRBOVZUTUZUVklTbW5MUGhPQdIBrwFBVV95cUxPOERkVG14ODI5ZEZHRHB4WWpiWGc4bVRReXdYUUJ5Y1ZDWlVwLThqbnMwOWl3VVZaQVNEYmJrbnRrbGlFVHo4RGZmeWJyOWQxbUZoSjNvdWRIRE9lNktzU01KVDFRVTJKVHBYMHNCM2pGY3V1YUltNnpsc1dGNTF5RWYyV0YycGZMLWdiaWtYWmg1Yzc3OHdOUVhiSjBfZjd0U3Q3YUVvNEJtVGVTRjFZ?oc=5</t>
  </si>
  <si>
    <t>The sentiment is 'bullish' because the decline in drilling activity and peak shale production could lead to a decrease in oil supply, which would subsequently drive up crude oil prices, benefiting sellers and oil producers.</t>
  </si>
  <si>
    <t>EUâ€™s Proposal for Tougher Russian Fuel Ban Has Bite for Traders - Bloomberg.com</t>
  </si>
  <si>
    <t>https://news.google.com/rss/articles/CBMitAFBVV95cUxQN1BlN3RmZTVLZGNRMzdlV0htOUE1MTNlUllaTlBfUnpDVzV6b1ROSnFxeHlTUVVoWmZXRjlJbmJRQVFhWFdqMW81WG8yWk9JN3htaWZDbTdkQ0pYOFhQdDlQZjEtSWJLNXlTUlNWS01EUkRTaHV1SHMxN2h0bjdlQzVveVFWR3pBclZFdk1XYnF5amx6MGltWlJxLTlwOUVNMmNtUGl5Wld6YVUyUjRBTU9rTDQ?oc=5</t>
  </si>
  <si>
    <t>The sentiment is 'bearish' because the proposal for tougher Russian fuel ban implies a potential supply disruption, which could lead to price volatility and negatively impact oil traders who may be caught off guard by the restrictions.</t>
  </si>
  <si>
    <t>Morgan Stanley markets $5 billion for Elon Musk-owned xAI in loans, bonds, sources say - Reuters</t>
  </si>
  <si>
    <t>https://news.google.com/rss/articles/CBMiyAFBVV95cUxNYUVJVFZ0eHdORTFvZVJiZ2QtMERyMG9IYTRWdG5GSHMtOGNyUnl1TGdIc1ljV2NkeWp0bTlkMGxZdkhxdVhjOXZ4UXc0SGZYc3FsaFY5cWZLc2N0NzUyeUc1SkE1Z3hXR1FPUGNWd0RKcU9oRkZrOXVVZjNMQTZIQXpGQlFsOV96dnFzZ3NKb0JWWm1CTFlrSDA1X1JyY3lDSExWZVBNZlFLYi05STcwejZScjRyVkFiQmI3MmJpZnk0djFJMl9mTQ?oc=5</t>
  </si>
  <si>
    <t>The sentiment is 'unrelated' because this headline appears to be about a financial transaction related to Elon Musk's company xAI, which has no obvious connection to the oil market.</t>
  </si>
  <si>
    <t>Kazakh Oil Exports to Hold Near Record Again in Fresh OPEC+ Test - Bloomberg.com</t>
  </si>
  <si>
    <t>https://news.google.com/rss/articles/CBMitAFBVV95cUxNaWRkZkZCdVFaWjJyRURjSmYwMXdOcTNJU0t2ZUQ0WGg1cFl0dExZUGNYUldTcmNRVTZ2Vk9ZMzVzM1VhWkV4WGl1bURLU0wtZUk4TUFaUkxibmlIRWhyYktKSFlmczJBdmNsRmdNQXhfMDJ5dktvajNJQXJkcGFuMEtMdXJBOEFJbzdTa2xEWjBmejdVNlhVOUZTNW9iS0RBMFNZcmthQjBNeS1xTmpDaWJHSWQ?oc=5</t>
  </si>
  <si>
    <t>The sentiment is 'bullish' because the persistence of near-record oil exports from Kazakhstan suggests a strong demand for its crude and potentially tighter global supply, which could support higher oil prices.</t>
  </si>
  <si>
    <t>Grid Resilience Will Come At A Hefty Price - Crude Oil Prices Today | OilPrice.com</t>
  </si>
  <si>
    <t>https://news.google.com/rss/articles/CBMilAFBVV95cUxOUzQ4WnhpNFBzNFNPbXRjbzhGVUhscXJkd01SRlRYUW04M1lDb1V3dy1GaWNjMGhraV8wU2xJOGs4cTBsRmo1akV1d19KYXlTRlBNSWhyS29POEZndlVlVk1LMTVwcmpXS3A4Zl9oYUR2eEZxZDJnTkYyV2JCZUxSRm1LOHY4SnVDT0NSS3NmSG4yVEtD0gGaAUFVX3lxTE5wT3FJZEhtWGltM0tNRDYtTDNZcVROR1AwWUZ4MW5GaTMwNFNneEVQaTBNS0FrT0tjck85YTBHZmVBZWpxMnpSREY4LTdWeFJNUkxzSHhMcl83Y1QyV0V5RDlyOVY0ZUpVaThsSGdMeExKZE9XdHQwMk9sQWRweXpvdk41dGhGVFJuYjFuLTgwc1BDRXVUSzRwRmc?oc=5</t>
  </si>
  <si>
    <t>The sentiment is 'bearish' because the headline implies that the costs associated with achieving grid resilience will likely lead to higher crude oil prices, which could negatively impact the market and overall economy.</t>
  </si>
  <si>
    <t>US-China trade talks going well, says Lutnick - Reuters</t>
  </si>
  <si>
    <t>https://news.google.com/rss/articles/CBMilwFBVV95cUxQMmlzMlFOdklBNm53X0dZNjRmWlVvNjVpY2tweWVWZ1VxQWxJX3oyOWs1NnhrWU5TTU43R2d4R3JNam5RZEZIY0lVYnJRN2xVeFZER3dIekFCalJnSlQ5M2VnXzhOOE1WNVoyWmg4Z1p6dDRZZ0NibnNJRzVmU3NOY2Rwa1h3c3A2SmdPU0xpdFJDVlczdUhj?oc=5</t>
  </si>
  <si>
    <t>The sentiment is 'bullish' because a successful trade deal between the US and China could lead to increased economic activity and demand for oil, which would be a positive development for the oil market.</t>
  </si>
  <si>
    <t>Centrica and Equinor Sign 20 Billion Deal to Supply UK Gas with Hydrogen Option - Crude Oil Prices Today | OilPrice.com</t>
  </si>
  <si>
    <t>https://news.google.com/rss/articles/CBMiugFBVV95cUxOcVNwbjhTRmV0T3o5SXJOdExJbUZOY2J5aUhJM3JoYmNUS1RJd1VkcFRQQ01wMHdhMkYzdUFYbFRqaERHaWl6SXh2aGkyXzJIUENtRjVfcVpFZWdQcVFMMUlhT3p1dWI2bFE2aUVPY2h5TTlTRE9yU3AxRlpGTVBrajZ5UFU4bnVpM3FCX2JzSDFHaGpTMG12cTFTQTRYUUgyTmNCYi1fRmttdlZ2UVQxSHEwaW9zRXlLOHfSAb8BQVVfeXFMTklDeGI4NDhqVmVJWU9XT3FhamYwMU1vVjFEaGp3Q3kyVUkyNURYZ2k3eXBuZTE2MzRiN3JTdTlsRVZvNzdiczJvX1cxMVdvTldldjVfTTFiYVNkbGtvRDZJYTBGNTFqSlpNSnFtNTZvSEZmbGx1d2FDVjV5Tlp0Z21YUjVhQXFvNTY5ODVWYktaVUUzd1ZaS2NiMlFJdVBkYVAwYUFRSzZOZUVmVkxSd0ZHTUZObjRBRkpQZV8zUHc?oc=5</t>
  </si>
  <si>
    <t>The sentiment is not 'unrelated' because the headline clearly indicates a connection between the deal signed by Centrica and Equinor and the crude oil prices, as the deal involves supplying UK gas, which is closely tied to the overall energy market and crude oil prices.</t>
  </si>
  <si>
    <t>Exclusive: Nigeria's $5 billion oil-backed loan from Aramco delayed by oil price drop, say sources - Reuters</t>
  </si>
  <si>
    <t>https://news.google.com/rss/articles/CBMixgFBVV95cUxOQkw1enJJcl9tNlVjeFF2YmlYaFpxckFDWC1WS1BYMXkxdURYbzhVdzJiRzF0cHBJN2FCcllybFRITmxCeFd0THpkUFdSSW9venE5Yk1DUmFSOGlWUDRqaVE2NTVaMzRtdFRrazUxZmdLbDhrWXNuUlpLNVQ1d1NKNl9DelVTUmV0RXFtWG5VYzJFZ2JCbmFsMWZ6ZzFfUGNsM1V2VG1XdUxITkZ2SUtZYTBYNVlKNXBrcnM5QmpBNEptUFNteXc?oc=5</t>
  </si>
  <si>
    <t>The sentiment is 'bearish' because a delay in a major loan backed by oil revenues, attributed to a decline in oil prices, suggests negative implications for Nigeria's economy and potentially the global oil market as a whole.</t>
  </si>
  <si>
    <t>Oil prices hit multi-week highs amid US-China trade talks - Reuters</t>
  </si>
  <si>
    <t>https://news.google.com/rss/articles/CBMiogFBVV95cUxPLWlBSFlPLXpmbHdDT0szMWg1TFh5eW0xN2ViRkFQZWlsYmZxdXNuenpxaGp3VjdKTmVWemxFa0YyTnM2STg0c09YNmFVWEdoZkhUVEkwV3NyaVQtRHFWNzhYYnZxSmloQVg0V1R1V3hJRllMVVFXU3VSeHlaaERZNkJVclR0N29zVTZKRFFOc0RzNEVYal9tMDd0dUVFX2pJNlE?oc=5</t>
  </si>
  <si>
    <t>The sentiment is 'bullish' because the headline suggests that oil prices are rising, which is a positive development for oil producers and investors, and the mention of US-China trade talks implies that a potential agreement could lead to increased demand for oil.</t>
  </si>
  <si>
    <t>Huawei chips are one generation behind US but firm finding workarounds, CEO says - Reuters</t>
  </si>
  <si>
    <t>https://news.google.com/rss/articles/CBMi1gFBVV95cUxPOW84QnhGeEp6RW82VTAwQ2RKVnFaejc5S3FERng5eGFDWElQbHVoQXVqYzEybFdSYUFWN29FaHRoeXNBY0FCc0VKUWIwRURSampRWnpVY2UwZzVqMHpScHdDWjhueUxKbWs2V1NhbzFJWEpLMFVGai1YX2FQQVJRUmU2dl9mSFpLZ1JvY0pIbWxjM2xjSlNGRm9ZV0x4Q0N0MEJSaVdQSmxJNnMxWUFpU2k4SEFBY1lhZk5VbW5rUVAtM3hOal9wSkoxUk01eXZYekxLaFhB?oc=5</t>
  </si>
  <si>
    <t>The sentiment is 'unrelated' because the headline appears to be discussing technology and business, specifically Huawei's chip development, which has no apparent connection to the oil market.</t>
  </si>
  <si>
    <t>Japan Imports Russian Oil for First Time Since 2023 - Crude Oil Prices Today | OilPrice.com</t>
  </si>
  <si>
    <t>https://news.google.com/rss/articles/CBMiqwFBVV95cUxQQ05YTExJaS1RZEJ6bmZXU2pRRExNTk1obEFXa2xVR2dmM2h2Z19uMlRFdTduSFVZaVI3aHRaeGs1dXUtdTRlX01PTU1HeWZzay14Q2hpRzVRbUlJTm5ObXFjZWF4ZWRSMW5RcjVjMTFUODhrcnI2TXN3SGdZWkMzZVJYOXE0aVlUMGNkNk1uRTVxbEQ4Rzh1QWxqNkVkbTc5Z0hmeHpWMEYzYUnSAbABQVVfeXFMT2NqMDFTV1pCVjhrQk1fQlJZM3lzUEdjd0gyRDRlWExVcm5pUjFTVlU2RDJONEhXTS1qTUJxbWRNS0oyWjlGZFd6dkE1LTFSWDhTSFRnU2xuTVp5dGdBc1pkTU16VXFVQXlHNy1FdGtxLW9KWThtc2FMd3VIYUdEQ2x6UDc3TzdCa0FrQmxrWVU3aEp5X1Y4VXV3MHQyYjNfWFdWaTJDSHFYbUlkSW9zSGY?oc=5</t>
  </si>
  <si>
    <t>The sentiment is 'bearish' because Japan's decision to import Russian oil for the first time since 2023 suggests that the country is looking for alternative sources to diversify its energy supply, which could lead to increased global oil supplies and downward pressure on crude oil prices.</t>
  </si>
  <si>
    <t>China's May imports of soybeans rise from April; crude oil, coal and oil fall - Reuters</t>
  </si>
  <si>
    <t>https://news.google.com/rss/articles/CBMirwFBVV95cUxOUG5MMXczSzZmc3M4V2FRMFNsQnhIWUVBMTBpUzMzMmhWVEtEQjlUeV84QjBvSGRkS1lqb2ljajFjbVdGdUlHeHAxSV90WThFbVhndEk5azlDa2FTLTFNWnhTeV85RU93ZFVJeVdEX0NQczJkdGw4elR1aEVVSEpsTnBycE95dVRyekpJNU5BSHlJQjY3MDlfUHFYT1RwaDgzMGh0RXgwYTdSTm5xVVBZ?oc=5</t>
  </si>
  <si>
    <t>The sentiment is 'bearish' because a decline in China's May imports of crude oil, coal, and oil products suggests weaker demand from the world's largest energy consumer, which could lead to a buildup in global inventories and put downward pressure on prices.</t>
  </si>
  <si>
    <t>China's imports of major commodities hiccup in May - Reuters</t>
  </si>
  <si>
    <t>https://news.google.com/rss/articles/CBMioAFBVV95cUxNZmVxb2dNRUhwa3pyLVEtYmJjMjRmZzdlZGRkajJYSHQtTV9iZGdZYklkdmxrZ3hrSGpSbTRMSmREX3dFSXA4bkh6TW9YVFJCZk9uaU5OY3JORmxnc3lQLTFDUktwaVFEcGNSdFBkeU5LbEJ0V0p5bDJMUDgzNHQ0Vkk3Y1RYalBWVGwyS1NXT2pHcTg3WFk2NmlPSl9GM19f?oc=5</t>
  </si>
  <si>
    <t>The sentiment is 'bearish' because a hiccup in China's imports of major commodities, including oil, suggests a potential slowdown in demand, which could lead to a buildup in global inventories and downward pressure on prices.</t>
  </si>
  <si>
    <t>BofA Oil Prices Could Jump on Coming Short Covering - Crude Oil Prices Today | OilPrice.com</t>
  </si>
  <si>
    <t>https://news.google.com/rss/articles/CBMiqwFBVV95cUxOV0dLYk5SZ1lkZXFpWm5zbXlDNnNjRkZ5REd5Rkg2UlJBcHF4TnNaZWRlQXZwTjhiQ0E1T2JxRFRDVUlvSFlqQTlocHBFaHU0RVNCTWRjaHhkMmhZOTYzN1RZRHlMN0ZoRUlmY2hZekxqQTIyWi01U05hRGw1UkhjZ0tpS3VXWkNTUlR3amJoWEt1U2RxQzBWNGI3V0lSZk12M2t2MlRLR2kzX2PSAbABQVVfeXFMTUY2UUlCV24tN2UwQjhIZlpGNlBPaEdpQjRMWkM2NUZvU1plcFhFbFFUSHlOSGhnODlYaUhfeEJ6Nlh5bG92NW9xd0JOd2dIeUNjN2p6ZmpxR2ZTQVNBQXFjUEpHR3VreHdMMlo0Z0M3SXFseFE3c1JFZEJNMWpxUW1EaE1EU3ZpbTFoS1ZZLVpnTnhWa2VmdmJXSmlfaS0xbmVzcENtYXpqdmR1V3N2T3k?oc=5</t>
  </si>
  <si>
    <t>The sentiment is 'bullish' because the headline suggests that oil prices could increase due to short covering, implying a potential upward movement in the market.</t>
  </si>
  <si>
    <t>OPEC+ Quota Hikes Yet to Deliver Oil Surge, Morgan Stanley Says - Bloomberg.com</t>
  </si>
  <si>
    <t>https://news.google.com/rss/articles/CBMisgFBVV95cUxPTVVoSUtwaUtyeHNxWVJLZDJNTWZyN2Nod0FKN0hmdkh5WlBiaGlXX3d1QWdLVmxKS0d3eWNEWVdfajdfODZKNUk2Mk5ueWxOTDRqbWZ3U0l3b0I3WTZyUlZ0QjY5RzVldkZUSmdUQ05rWlhrb3g0OVU1em1JWEs1dlNRX2Nlb29pZ095ZDZZTEY2YWZzQlB3Rk43elJ0b2JKRHlfNjJ6SWFXbkNfUk1yd3RR?oc=5</t>
  </si>
  <si>
    <t>The sentiment is 'bearish' because the headline suggests that despite OPEC+ increasing production quotas, there has been no corresponding surge in oil supplies, implying that the market may remain tight and prices could remain elevated, which is a negative outcome for oil consumers.</t>
  </si>
  <si>
    <t>Morgan Stanley OPEC Fails to Deliver on Output Pledge - Crude Oil Prices Today | OilPrice.com</t>
  </si>
  <si>
    <t>https://news.google.com/rss/articles/CBMiowFBVV95cUxPQjFQalRuTXdJM3ljVnBBUGZlTGkwTjJMWW8zZ0lyQWdjYThZVlhWSG80c3E1TUstcDFzWjRLSFNGTTRaX1hfRFZqMjRPd1hsMFRQUGZMblN4bUtrUW55S3RYSWZMVnQzeWpBNWEtc0YxcnB2b1p3TDZZeTd3NERqdVQ4VGpsRGg4Zl9TU180aHhvYUZWNzFOT19fN1puOEozb2k00gGoAUFVX3lxTE9hUEtpalZPd3FNWE5TTW9iMXdYTzY1ZV9CR21fWFJEOGZydXY0b2xvSWFFbXdyR205anhZUHBqT21VUW16NkRFTXY4eVEyZnpHRkVQdEhrTHR6YWdYVXJFMzNQR0s1a1ZyMmhpMkNwa0NMcGdpVFRBU01jZE9RX3hpcEF5WjJjTzZGU2xsYVRJak8xZDNFWmFuVWJZNzdYbXNUUVRKVmZTUg?oc=5</t>
  </si>
  <si>
    <t>The sentiment is not 'bullish' because the headline suggests that OPEC's failure to deliver on its output pledge could lead to a tighter oil market, which would actually be bearish for crude oil prices, not bullish.</t>
  </si>
  <si>
    <t>China's Exports of Rare Earths Jump Despite Shipment Controls - Crude Oil Prices Today | OilPrice.com</t>
  </si>
  <si>
    <t>https://news.google.com/rss/articles/CBMitwFBVV95cUxNMVVPU2RnX004cTg4WXdpdGR3V1duMnJ2SkxEemNlRVRHSmEzY2lVNXhCcGVYLTRXbFVJeFpNRUoxMlhMcEluOFhWR3FtQ2h0MjdwUjQzZXVoMTQxRHNMQm95RUQzSVBXelZYTVhWYl9fYzJvelBjWFozY3ZtOGVsZkxWaGpQN3NkR21ydzZlY1ZhSWlQYzBwQVFxQ0hEUXJzQ2I2S3dyMGJxQ1dMQk1fOE1LcXNfQ0HSAbwBQVVfeXFMTWdqam5oS242MTJSd3lGQ0VQTUZKVU9wckJnRmtMQ09LY2VJZlVDVHlpYjRXMDZSYWNVdUtXcVU5UGJPVWZEeDEyRlkxNEZpUldQd3l5SXJGRjR5d2x1UTlieklXV01Qand5dDNZN3VDUzg2cWk2NGdGRk8tc0IyYUpzR1hqVDBCR1dwTzA0QXBzTWMxeHFoVjZFSmdBTTV3VmRWOVVsQnlQUVJIc0piNjBzWmRrcjNmaDRQQWc?oc=5</t>
  </si>
  <si>
    <t>The sentiment is 'unrelated' because the headline appears to discuss China's rare earth exports and shipment controls, which are not directly related to crude oil prices, making the connection between the topic and the website OilPrice.com seem coincidental rather than substantive.</t>
  </si>
  <si>
    <t>CNOOC Installs Record-Breaking Offshore Oil Platform - Crude Oil Prices Today | OilPrice.com</t>
  </si>
  <si>
    <t>https://news.google.com/rss/articles/CBMirAFBVV95cUxNdUtNVWhCMmxjdzM5cUdVcXJyNVRjSXNXNGlpWTgtTEpSRWoweVlpVU5fcldpcjlFTy1SNVF1QkRqNjRjM2hMYVpwMlR5Vk1uX2VQMWpqdHRxaTNINWlhMkdnaTJHUDMwV1B1MmVHS3dDeUQ1OVVVUVlzSmViMjJ3T1BLMzIwaFJTUXhURUJ0Ni1TUTlTUkNJZ1NDaldkZHR2Uno4VTc2aFhoamRy0gGyAUFVX3lxTE45TDI4S01uX2wxTW5LdmZCQ28xVWh5QkRnaDZ0VmdmV0FlVTVVbVVoTE1tNno4M2ZoWXN1ZG9HWW5ZSFh4VWVFTWpHSFAtdXcyVUxUSWxHUEhJZ2VfN0RraFBjam1kUHhlV194WElSYlJwSDlCbHk2VEltMkJNVVN5OUpKTFk2RGtsUUNVN2FzOHcwMzhDZjhENlM2aHRueVdwbHhwWHQ1R2tKUUdNWkNHQ0E?oc=5</t>
  </si>
  <si>
    <t>The sentiment is 'bullish' because the installation of a record-breaking offshore oil platform by CNOOC suggests increased oil production capacity, which could lead to higher oil output and potentially support higher crude oil prices.</t>
  </si>
  <si>
    <t>Oil &amp; Gas Deals Are Tanking. The Worldâ€™s Top M&amp;A Law Firm Has Been Here Before - Bloomberg.com</t>
  </si>
  <si>
    <t>https://news.google.com/rss/articles/CBMisAFBVV95cUxNajRfUWU2ajYxVjd1aGtoakE5Rk92NDlLV0NiN0drSkNSdHVxUXlSRkJZYjgyNVZIeTlBVTJBR3hSMUpVSkFCb0Z0ckgtWmNQWnRaZHoxanJfWl9qWWJnQXNRQTRNc2locmg5Z24za05uRk41Vk1OcDVUdWZkQWtVT1p0M2pJQnBzaWtKWVNNbUNJb3N5Qzg3VnhxTXRfTWNncG0xRTJiZ3UtdElDSzFwcA?oc=5</t>
  </si>
  <si>
    <t>The sentiment is 'bearish' because the headline suggests that oil and gas deals are declining, implying a negative outlook for the industry, which is often correlated with lower oil prices and reduced investment in the sector.</t>
  </si>
  <si>
    <t>Japanâ€™s Taiyo Oil Imports Russian Crude on Sanctioned Tanker - Bloomberg.com</t>
  </si>
  <si>
    <t>https://news.google.com/rss/articles/CBMitAFBVV95cUxQRl9jSmg0TmpQeWlTUmk5NHhsUTJETEE3WmRUWnJpMmU4emFVYXNvU2g3N1Y1VVRYbFIzRkVIcE9CMTB6NDNRbGJzNmYxb3Z4VVVnLU56YkVrazdSU0M4T3JWZnlnbGp4QVZaZVh4dWEwa093ZzUwUjBETjdVUjZySVFiYjVpLVc0N1E0QkdCOGF3RldiMFg5RWNXbU05Q2FNajMzQ0hxUC1Xem1iODREcndpb3U?oc=5</t>
  </si>
  <si>
    <t>The sentiment is not 'bullish' because Japan's import of Russian crude on a sanctioned tanker implies that the country is actively seeking alternative sources of supply, which could be a sign of tightness in the global oil market, but does not necessarily indicate a positive outlook for oil prices or the overall market.</t>
  </si>
  <si>
    <t>China Imports 18% Less Coal in May - Crude Oil Prices Today | OilPrice.com</t>
  </si>
  <si>
    <t>https://news.google.com/rss/articles/CBMikwFBVV95cUxPbDNOQTg1MjZwNjQxMXctM1RIWmdCYldhYXhDaDBEQ3BXSWdNaUcyZjlEV3VFbE1fM2x1SnNLMk13V25uWUk5bkxnM3BxZkxGVXJhc1lHOFdYbnVzOG1BR2NnUmhwYUJ6TWZGTzNZdEtwMEQteTduclRhZEl0VHlKc1N1T1F2WnNkQkdoZjM3NkFDTGPSAZgBQVVfeXFMTk03V1hJU2dJbVF1TGctZGQ2RFkxX0xicUpNWTl0YTB4eDF4aWNLOXdDd0JHbHV3WWhTMkYzdWtIOUtDVWt4cGxkRmNwd040bm9EUXVmOGx1bjE1d1dJeWFQM2VMb0dlY05NM2tWa2VEemdWUEhFc0FOV0VhZXhod0I0eDBFcl8yUlZlOXZMcEVFQUpfdzNiaWo?oc=5</t>
  </si>
  <si>
    <t>The sentiment is 'unrelated' because the headline mentions China's coal imports, which is a different energy commodity than crude oil, and the connection to crude oil prices is indirect, if not coincidental.</t>
  </si>
  <si>
    <t>India's Power Pivot as Coal Cracks and Renewables Surge - Crude Oil Prices Today | OilPrice.com</t>
  </si>
  <si>
    <t>https://news.google.com/rss/articles/CBMitwFBVV95cUxQZFN1bmZkTi14ekxuekdDcGJrYk9WR2Z2Z1dQbEhZc0NncjdVaG1NV0hla09qdXRWSllGUWNfNm81OHkyM1JSOGZKcDluelZCZ095djZmRzd4b1h0YXpvVHgxUWhxUkhwTkViNWcxZ3JERXhlcXJQYkZOSnpFcEgxZDA4NE1WX0hqSjV1TjYtRWR6QnE2THlibENJdXg5dEpUeWNlX2VXZnkyZ1hpcmtXNFJZb0s2WUnSAbwBQVVfeXFMT2lncURtMi1MX1hVUGZCOHRBcjVwMHhxbmh1bTQ4Q1VIRzN6Z0wyMGRDN1gxRHA4ZWJSM0VQbFhJWHJTWUlUX0Rza19nbHZMdEZvUVhadFhRaUhxaWJ6SXNUdXlYbVA5MlFzWnhGZWFFZFpnMmlvUktLUjZJWDltaDNNVC0xX0trZzFCelVDYl8wZ3VYVUo0RzVaRGlCdkQ0OXh5MTdMM2NtTWgwZldmQWRJZncxbGItbGVZbWc?oc=5</t>
  </si>
  <si>
    <t>The sentiment is 'bearish' because the headline suggests that India's shift towards renewables and away from coal could lead to decreased demand for crude oil, which would put downward pressure on oil prices.</t>
  </si>
  <si>
    <t>BP Takeover Would Be a Longshot Due to Size and Complexity, Moelis Bankers Say - Bloomberg.com</t>
  </si>
  <si>
    <t>https://news.google.com/rss/articles/CBMixwFBVV95cUxQTTFGdUV3T3FWTEFqVFJENWRZY0d4RG1rTFhMc3NTaW9TZGNvRGNKLUtSaFhVcms3bzBtT3hyNnNHUmhMS1lZT0NaOG5nbkxnUVNLRzduWDJzX3EyNjYzTGdXdnhoeXZrVDRFVEduUjRWV3FCOUx6NG9RcTV4N3FvaGZQSWw5cnVlU0hIQWRDU2hudHB4TFFKLVJNNkpKcjAwMzZMNXlReEc1UV9OMjRfQ3M2c3RUSzNRR2V5YXZBTE5LZlBvMUxN?oc=5</t>
  </si>
  <si>
    <t>The sentiment is 'neutral/uncertain' because the headline presents a cautious and nuanced view on the possibility of a BP takeover, highlighting the significant hurdles of size and complexity, without expressing a clear opinion or emotional tone, thereby warranting a neutral/uncertain categorization.</t>
  </si>
  <si>
    <t>USTR eases proposed penalties, fees for non-US LNG tankers, vehicle carriers - Reuters</t>
  </si>
  <si>
    <t>https://news.google.com/rss/articles/CBMivwFBVV95cUxNVlhyV1lXUFVySmpvTUZPRmdzZFlBVVlOTDJPcnljcGhZMlowQXFiazBkdlBKTGQ0a25xcXd0M3hRYWI0ekdTLW1JXzR4ZVVwendrYng0MEZEdGl2bEk2a1RhUjhyZFB5anhhYWYyeEhWNnhGRE1IaUtUMTZESENGVXpPeGRvOHlMUDhsWElUYnR1Rk9SVm5DNS1kVUtuVVpUVjVKZFFxMGZRTU1VLXBOQ082SmphdEZaOS1rOUhmUQ?oc=5</t>
  </si>
  <si>
    <t>The sentiment is 'bullish' because the easing of proposed penalties and fees for non-US LNG tankers and vehicle carriers suggests a more accommodative trade environment, which could increase liquidity and facilitate the flow of LNG and other commodities, ultimately supporting prices.</t>
  </si>
  <si>
    <t>Stainless Steel Market Reacts to Tariff Hikes - Crude Oil Prices Today | OilPrice.com</t>
  </si>
  <si>
    <t>https://news.google.com/rss/articles/CBMilAFBVV95cUxOR0ltazY0LU12OWZtdWFGRUhvb0l1d3ZQOW9ud0tBQ3ZJdVd3SkVxUkpMMWNRS1p6MjBzZVNNQ0JOcmpBTm91TmpERU1Velk4TjFFY2VTM1NDM2h3ZWVxM1h6SXBqNVRhak9CdUVsVEdjdVI3YXgtSXNBZ25DanRWWjFEdXhkbVE1MjBGaXlzN1lqMWVn0gGaAUFVX3lxTE4wakcyQ0FaTV8wam1hUmVUeFc5eEFOZ0t4a3pNWDhsMU1Rak1kTHg3MEZPR1dGcU1WX3EzYnF0VE9tN2pGbE53aHIxRmVaODNWTkRjdlhXQTVXcTVPS0FlRXVKcy0zdWM3TEI0VVJBV0pxekxfdkNjeHhtYVBlOWFULXVtNXpiemw1bnFRempPdFZYanYzcUVrQ3c?oc=5</t>
  </si>
  <si>
    <t>The sentiment is not 'unrelated' because stainless steel production is closely tied to energy consumption, and changes in crude oil prices can impact the cost of production and demand for stainless steel, making the topic more related to oil prices than initially apparent.</t>
  </si>
  <si>
    <t>Kenya Plans to Launch Crude Oil Exports in 2026 - Crude Oil Prices Today | OilPrice.com</t>
  </si>
  <si>
    <t>https://news.google.com/rss/articles/CBMipgFBVV95cUxONmFmM3I3N2dtbHNCalgzRW5EeFZsakpzUWhKV1BYYTNUOW55YUUwLUdWTzlFb0VMbVNCcVhpRjBYV0gxb2d2LUNOYUZOVVB4aGJJRUlIejltd3dzbEtxQkUtd3dONXo5MndIZFhCb1dlYkJDdGZFbmc0T3J1QzZkMzlKQ2plYnRmR2pRLWVxVjVRYmNXS0hCcGtpOGtMMnBvSDYxb3Bn0gGrAUFVX3lxTE9YYU9MNjQwZ3ZBMU5RdjBTWmZCY2FnTXZ1OEdLUXVUZjZ3bXZqZ1k0UXE5blBpUFBaemFVTFhSaTRHVGF0VExMQzdNeVlIdE5XSzBDVV9iQW9KbU5hTmRIaVZZaUc3NzEwQlNIRVEzTzdCVWhPOTdZd0tyRGozZFhIRmxoOG1RYmVmN2NwY1F6UXhVYjM1NUJmV25uYkRvRFF3MVpjQ0pIZnpqYw?oc=5</t>
  </si>
  <si>
    <t>The sentiment is 'bearish' because the launch of new crude oil exports from Kenya in 2026 could lead to an increase in global oil supply, potentially putting downward pressure on oil prices.</t>
  </si>
  <si>
    <t>Corporate World Goes Quiet on Climate Pledges - Crude Oil Prices Today | OilPrice.com</t>
  </si>
  <si>
    <t>https://news.google.com/rss/articles/CBMimAFBVV95cUxOd2JBMkg5SmQ4RXBvT0hYSjBrVEZwYXhLbEU3X0phM3pGcjhnUUxhTDd4LVBJZkRrTGp2N05temFlUndRNUVOYlVnRTBPMXd4NUI1U2VMNGlITWt3c2FtUHRVTC1OOEVHOVdZYUVWanFoLVZDMG5LU1BnMkhYUWVWZEZZYXozcFVTLTlJMXA3YmxXTlRBY09BZ9IBngFBVV95cUxQSW5pdGhpOVdJSTJUdlFNVGtNQzl2UXpYZU5palFoLTZFVVVPZ096Q1JaYklfXzhrdDBKbTYwb0NuVEFvV0lyX1NfUmJOYzhST1QtTTRsUzY3TUtubjlRTVZ1M0g1X1hyem91WjkyZURCUFppdFhPY0VYVFpUNGYzRUQyS0wxc1UyQlNPT0x4alNSMGl4T3ExWVhsaGdyZw?oc=5</t>
  </si>
  <si>
    <t>The sentiment is 'bearish' because the headline suggests that corporations are backing away from their climate pledges, which could lead to reduced investment in renewable energy and a subsequent increase in demand for crude oil, ultimately resulting in lower oil prices.</t>
  </si>
  <si>
    <t>Wall Street, Main Street push for foreign tax rethink in US budget bill - Reuters</t>
  </si>
  <si>
    <t>https://news.google.com/rss/articles/CBMitwFBVV95cUxOdjVvV0tsaUg5V3NvR2pHcEE0X1UzNFZncnEyOWxadFctaTlXTXVIcmNrbnIzVTE0c3hVUTIxVHBZb3FTT2FicGUwZ0l5QmIzYlhTc1JoWTdLTUVvMkFwakhHNUc1T0JYQ1dnQnNIc0YzNnFIVFZqREJQSzZnRU1nQzc0Q1hFTXoyNlRUb3Rxc2tiS0xVczJoMThONzJtZkVDUFVGTXczdG5tMWVpTHJIT01hekFlNjA?oc=5</t>
  </si>
  <si>
    <t>The sentiment is 'unrelated' because the headline appears to be discussing tax policy and budget bills, which has no direct connection to the oil market, making it an unrelated topic.</t>
  </si>
  <si>
    <t>The Shale Macro and Evolving Production Dynamics - Crude Oil Prices Today | OilPrice.com</t>
  </si>
  <si>
    <t>https://news.google.com/rss/articles/CBMilgFBVV95cUxPT2EwRDQ1WTcxVDFWZkNiZWJUZWNQTnVnbGtPMXVRSktDbW9XT0syRlpjLWV2Nm9ILWt2Ry1aWGZ1aFBWY3BFTC1TUDRnYXpocXY2Si1SWkdJNWpnbXNjTVpaMEFJcUhWd3BibHM5dFNDdEQwM21xdlFJLXR2RXNBeVdEVURtQTZ1NG5zdC0yLU80Um52T1HSAZsBQVVfeXFMTmZDMkpvM19fRmlqdkZPcU9LdWtQMVppSEpNOElCV1NwZ181NFlpanhxeF93Q3hySE5kakQ2eklGODRua29DbHJ5blVVQTRCZzdqZjhCcjR6a0Z4TDdIenVYaDJMbVd6RlVROGhOelRnWGxaUVFJTHdnZlFwQmozcTNnVDIyNXliZXZHS0FEVXl0cEp5dHhJS2Nsa1k?oc=5</t>
  </si>
  <si>
    <t>The sentiment is not 'unrelated' because the headline appears to discuss the relationship between shale production dynamics and crude oil prices, which suggests a connection between the two, implying a neutral or informative sentiment rather than an unrelated one.</t>
  </si>
  <si>
    <t>CNOOC Starts Production at Weizhou 5-3 Offshore Oilfield in South China Sea - Crude Oil Prices Today | OilPrice.com</t>
  </si>
  <si>
    <t>https://news.google.com/rss/articles/CBMitAFBVV95cUxNbndkOXRHcFJiLUV1LWE5UXlMUFRNLXdXcTZLM05JUXVDRFhpLXU1UWp3VW1oR0RqeXJVVTV3NnhhNFhJd2lzeURHNkh2dzBpemZhQk41cEhBSWU0M05qQ1diZ2l0X21mS0J6MTVTMER3bWF2aWM3LWFtWndhR09QOWlTY09NdXVadHZ1YTZPM1l6cTFWMmlYYVlQZXBicUpKQXYzcU5lczFTMTJ1TnJWN3hZMUfSAboBQVVfeXFMT0hPdDdQMVdhUzlzdS14dG0wN2gtZGc1OUxwMjVGNGtmZ1FGOUtEdl9BQWNieWxqLXhXOU93Yl9KUWdqNG1SSUVWQzJ2VWFUbEU0al8tNHRraU1hQ2VVSlB6RC1hVlNES25Ia2wxdlFPUG8wYXBoS2gxb3pISVIzTVpaUmpYUWpnV0NVNlliTk1ybW5LWW94RnZYYWl3TGpoUEJMOWFvQVMyVWN6MEVTUzBRV1lJZS1mdlZn?oc=5</t>
  </si>
  <si>
    <t>The sentiment is 'bullish' because the start of production at a new offshore oilfield in the South China Sea indicates an increase in oil supply, which could lead to higher production levels and potentially boost revenues for CNOOC, ultimately supporting crude oil prices.</t>
  </si>
  <si>
    <t>OPEC oil output rises in May but compensation cuts limit hike, Reuters survey finds - Reuters</t>
  </si>
  <si>
    <t>https://news.google.com/rss/articles/CBMitwFBVV95cUxQZ055dlJQZUJQRjNIcDNyVWZtdGMxaEFtamhzS1Z2bEc2MU54eHg3WVlIWG1OYmNrc0plZ2J4LVFQQnBkMENjazhVRjM3MTdGaFBwM282VTFmN284NVYzcVhRVURleExFQnNCSzlQd2tUZjVNUjlEVVhnRXo3eXMyRkQ5ZGJQQS1QaG5oNXJITFhETjAyR2pEMjVhMGk1Ukdkc2p0eERUc0gwTl82TWM2VWtMakNQd1U?oc=5</t>
  </si>
  <si>
    <t>The sentiment is 'unrelated' because the headline is simply reporting on OPEC's oil output levels and their limitations without expressing a positive, negative, or neutral emotional tone, making it a factual report rather than an opinion or sentiment-driven piece.</t>
  </si>
  <si>
    <t>OPEC Oil Production Fell Short of OPEC Target in May - Crude Oil Prices Today | OilPrice.com</t>
  </si>
  <si>
    <t>https://news.google.com/rss/articles/CBMimwFBVV95cUxQUnlWZWFXQ1RIdlM4X1BsZmlvZXdBM2VOeUFmeFdmZEtNcnhZN1RSLTF5eks4elhlZDc4VlliYVdwM0g2U1JhX2pyMlZYYzNJWExfSEtucHdGRzdiWEpFY0dTZE9mR3VxSndwYUdZZ1JZdkdJcWw1aWkzWE52djAtQ0J4STZCN0ZTM0tlRWg5YVNidEI4UTRrUzI5UdIBoAFBVV95cUxPM0RZUUdJOW90LXpJU0FEd3NmbkU2Sld6TnFqQmhYa2dnRG9oT2k4Y3hWNHkwd21jOEtEdTdOUWtFMm9HN3R0ZWU4TkRVRnNvYW5aTDV3WGQ3UkpRR3lYaDdfM2dYcHFJcFFLWWhWWGUxdzJVSDA5VGZYbXJ5LTNGUjFXYWVJVFlrTDh1OUpxV0tKWldnemNmLV9MZ1Z4ekw3?oc=5</t>
  </si>
  <si>
    <t>The sentiment is 'bullish' because a shortfall in OPEC oil production compared to its target suggests a tighter supply market, which could lead to higher crude oil prices.</t>
  </si>
  <si>
    <t>Central Asia's Debt Burden to China Examined - Crude Oil Prices Today | OilPrice.com</t>
  </si>
  <si>
    <t>https://news.google.com/rss/articles/CBMimwFBVV95cUxPdUlZVjVabExSUjVXRy14SF9wZ1V2dWJzZzBVNnJzWnlGWjlOcURTX3NKZFRKbnhrR1VNcGhhQ3NUT3poUFVScVJKUXpBVlNtV05qenRJaF9jem9ia3JEd3NRMXRjZ1NTMG1rYWh4MFVIbDRrMjFVZVdvVzFpanlZa3VQajR2UGpCU2M4YXA3QXU3eGNUdVBKMXJDZ9IBoAFBVV95cUxQLU1jT0VVa3d0b0gxOC1ONm53Z0VDRktNdm5xQnhhVnltZENfZGduVUxzRVV4VTRFLWdQdlplWXFja0JIdVZSd1VvV1d3MmVYeFNsQXByQ25WWTNkWWstQTZUanZGZE5DbTJNVnI5SzBwQTU0QUEwYUg0dnVEZzg5NU5FdE1NZ1dnQlZKTElzOVBmREZsUkhnWjRkM00zaE9p?oc=5</t>
  </si>
  <si>
    <t>The sentiment is not 'unrelated' because while the headline mentions Central Asia's debt burden to China, it also includes "Crude Oil Prices Today" which suggests that the article may explore how China's economic influence, including debt, affects the region's oil market or vice versa.</t>
  </si>
  <si>
    <t>Oil Steady After Weekly Gain With US-China Trade Talks in Focus - Bloomberg.com</t>
  </si>
  <si>
    <t>https://news.google.com/rss/articles/CBMingFBVV95cUxPMWZOMmtiUnk0NDhxUkhQM3hhUzBnUFgwTVNVRlcyU1pjbFppWDlHUkxocEZtamZ4R3A5VmljSkQ2dEhQeDdBc2xpc0w0T18wUXNrTWkxUGlMT0htUWtvMm9pVUVjWXlkYzdSelRzdWtkRHowYWllWURmV0lmcjR3RHVON281LVdrd0pzajBRWFNwakx4MXZEdEZhQjNKQQ?oc=5</t>
  </si>
  <si>
    <t>The sentiment is 'unrelated' because the headline primarily focuses on the stabilizing oil prices and the ongoing US-China trade talks, without expressing a clear positive or negative sentiment towards the development.</t>
  </si>
  <si>
    <t>China's Rare Earths Weapon Could Kill Europe's Auto Industry - Crude Oil Prices Today | OilPrice.com</t>
  </si>
  <si>
    <t>https://news.google.com/rss/articles/CBMiowFBVV95cUxPbmVsTkMtRkIzSllMejVvLWJINi1UcldycUVNZFJnUi1LWnZMYi1FenFydVJsZWY3c0tQTGRiMWpObWVFMVJQMmNoSjBJNVFqdGtNaF84X05iMFdjMlQ4WWpkTjVLcDUwN0pER1g2SUFlOGJFLUVwaVRLdFRBNDlaZm9jdWtDRktzYllyc3o4SmYzbk9hNXlLTzdnSjR3NElEcEVj0gGoAUFVX3lxTFBmYTd6YkRBZE0yNGp4alJLcUhYeGFUd2xqTkRqVjJmQW5JcWxxczRwVmpiNm1sOGNHU1htYWVyanVCVGFLOVZEUS1XcG9TMEx6bmVaWHRnMmFKd0R3cW9DMllrNmJrMmJKMjFNQUk4ai1rOExWVHpNeEFlN3YxRVEycDRCUXNtekVLR1FxV1ljT1NEZkZWTkg2U3lQTGZXV05KNkdBWmktXw?oc=5</t>
  </si>
  <si>
    <t>The sentiment is not 'bullish' because the headline suggests that China's potential restriction on rare earth exports could harm Europe's auto industry, which could lead to reduced demand for oil and subsequently lower oil prices, making the sentiment actually bearish.</t>
  </si>
  <si>
    <t>A Major Copper Crunch Is Looming - Crude Oil Prices Today | OilPrice.com</t>
  </si>
  <si>
    <t>https://news.google.com/rss/articles/CBMihwFBVV95cUxQVDM2WjJ3QXl2QXhSYXNuWVJzd1dqZVZKTDFneklsRzU5Nko4cXRIZjVjVkEtcGZaOXZNemlyMTc2aWtlVFpFclQyZlNWY0MzTkFqXzd4WkJURXBIRUIwUGR3ZzNLMW5CX1pjaXFudERhNmFDaDFfX0JIUmlxY05OY1JybnhyaDjSAYwBQVVfeXFMUE8tQWM5VXEtZ2hRNG1GY2RJWlRESlZfMDF1eGFPVTE4LS1oV3p5R2ZtMVhLeW1ZbDZnSmxwak4xc0s2cklPWmZpSG5NTGVxNmFUc1VJUWJ3V1ZYcDBGLV9oOEp2TC1mdVZZMDczMTRLMTI2LXlDNnlOY2hSY2xoNGNSTkdIMVJjaVo0Q1Y?oc=5</t>
  </si>
  <si>
    <t>The sentiment is not 'unrelated' because the headline mentions "Crude Oil Prices Today" which is directly related to oil, implying that the article is discussing the impact of a copper crunch on the oil market or vice versa, making the sentiment more likely to be "related".</t>
  </si>
  <si>
    <t>US Oil Drillers See Sharp Decline in Activity - Crude Oil Prices Today | OilPrice.com</t>
  </si>
  <si>
    <t>https://news.google.com/rss/articles/CBMimAFBVV95cUxOaWFSbXZwM1dWS0g3cDJ0amNkVG03OGp6YVNDQ2NHQ1RFNlVuYzFuaFN6WEhkWjhyOS1iRVVrOGJyQ2FPVDNCMWhfbmxqTmc4dVdXUTcxdjZKaXdVSVZFcDJmRGFXbW1sdzhNRkNIenQyUG9vX0xHTWhfSDRUb3A1UjgydndMNFRJNk1uQUV5b2tia1NmREtxMNIBngFBVV95cUxPYndHbzYxNnFreWdTRVhNOXV2MHlyRVFVWFlEd2x2N3pKMWt5QWl1dXRSNDZQNzJaMVNBU0VQU2I3OVdYODVXXy11XzlwRkdqNkdlRXNETXRwdjU0TjItdVA5SjZGM3IyS2NVU3MySTB2QzFqZzYwWUloamJqZVBmdXFkZ0NrZlpRVmJzMTdueHJNczdreVJndGl2eWJpQQ?oc=5</t>
  </si>
  <si>
    <t>The sentiment is not 'bullish' because a sharp decline in drilling activity typically leads to a decrease in oil supply, which would put downward pressure on oil prices, not upward, making the sentiment rather bearish.</t>
  </si>
  <si>
    <t>US oil/gas rig count falls for 6th week to 2021 lows, Baker Hughes says - Reuters</t>
  </si>
  <si>
    <t>https://news.google.com/rss/articles/CBMitAFBVV95cUxOQlVfQl9NcjRIeGI1dUpiMDhYcjdGaU9FdG1zdUdqdU1PbjYwM3VKYjlZY3M4c21xSGktNVlUUzlyNXE5b0Jaa3JGSFNvNTVJeTRjM09XOTRiNmRqb1hGUVFsdlhaVkpmY3NJNUZOZFlJQjltTk1kdjNWcmNpNndhZU1zOXFnQmozTTh4WmpyanZYblR4aFBPbDFnNTlPM1dyQlU3elFwWEwxRVNJQ2hlcXJoOVY?oc=5</t>
  </si>
  <si>
    <t>The sentiment is not 'bullish' because a decline in the US oil/gas rig count, which indicates reduced production capacity, would typically be viewed as bearish for oil prices, as it suggests a potential decrease in supply.</t>
  </si>
  <si>
    <t>Oil Traders Brace for 2026 Squeeze - Crude Oil Prices Today | OilPrice.com</t>
  </si>
  <si>
    <t>https://news.google.com/rss/articles/CBMiigFBVV95cUxNUmE3QXhuWHZfdmdQam95WjdSQVVHdXJsdmI4U2JVU21pWEp3S3dmNWh0UVRTZVhhTVUwT2t4ZE1GWkRpMDV6TElqOS1ySjdDa1FjWXlBVHNSWEpLYWdCY29iRDk5U2hGNzVnOHBwQnRMOGRwZjg1SFNpTFZvellPbHJPQi1kM3VKenfSAY8BQVVfeXFMT3FKWW40U0VJc09wYTh3a1JubWgwblhGcU1zVWoxV2tSRVJVdy1yTTM4anV3NXBBWW5JSzlXaGxzZ0pZclA4RGgtVTBEcnZoS21CRUpLcnppeWJaNjVJWjFzRWFVblVULWJIZDZOci1zMmd6NzZmVURBSzBJY2YtUDRMQ1M1TFBWNktuc2Nwems?oc=5</t>
  </si>
  <si>
    <t>The sentiment is 'bullish' because the headline suggests that oil traders are preparing for a potential supply shortage in 2026, which could drive crude oil prices higher, implying a positive outlook for oil prices.</t>
  </si>
  <si>
    <t>Petrobras Sets Sights on Africa for Expansion - Crude Oil Prices Today | OilPrice.com</t>
  </si>
  <si>
    <t>https://news.google.com/rss/articles/CBMiowFBVV95cUxNQnpueFg5TTZ4WjB5Nzd4dERwd3RRSUJSWS1ISUdPaVFtQVN1Ymw2S1Qzd1NOV2M1OElBZktINHI3bmtEVmcxYVFPek43cnlWdS1wNTZVWHJfT0ZJVjZ4VnNhYXR4RnZFSktUbWdzY0tWTjRySC1VVGo5eFV0RlRFU0MtN0s0Uk1VSWNMMjR1QWNONGE4c1lwUDd5eEtGSGw0YUVn0gGoAUFVX3lxTE5lR04xYl82TWRLbnlUM0YxY00wTmM1azQydEozVkR2MGpJUEpHZWVnU0JtSWRzOTJoejRvbTJQZGgzV1psLVFaUkllcmp4VHBwemR3MGota3ZsS1hiSU1CbE9qSGhOSmVjMlZLQy1jYV9nVDY0UXIzTHZiZ2VNSEZvZTlpaXkwd2pQdzd6ME1xTnFtaG4xWkQ5cFFTSmhLYThZU1pkVHRZTA?oc=5</t>
  </si>
  <si>
    <t>The sentiment is 'bullish' because Petrobras' expansion into Africa suggests that the company is confident in the demand for oil and its ability to increase production, which could lead to increased revenue and profits, thereby benefiting from higher crude oil prices.</t>
  </si>
  <si>
    <t>Oil Holds Strong on Supply Disruptions and Geopolitical Tensions - Crude Oil Prices Today | OilPrice.com</t>
  </si>
  <si>
    <t>https://news.google.com/rss/articles/CBMisgFBVV95cUxQUk51ODhFNVUySS1qbDNfdi1DYUx2WWtETXNwel9oYWdUeVQ3SmhCUzRHaGlxX0QwdFczSkd3RGI2VzJGWm1xYjJXN093R0lIUHY1VWQzLXJWMzNDbk45MEVTZlBKbndpakdYMWVNUldxVjJRdEhxY1FHR0xJZzN4SVFYNGNyNm9vLWxVRW55cXhaZGVjdDlBQVJlVkJRYUViYkllcmF1cHF2VHNHRVY2ektB0gG3AUFVX3lxTE5IUEVUMTktOC1PRl9hUk01UE9MT210ZmNlc2VXSklDTVg2TlZ4QjJZQ1lRY0tKeXFFZ0ljNUFxV1dDWS1EQjZ6T1lsS1ctVk53OHprY19FTU1fMEhReGFncF80VjJUcVJtVi1OQjJOSFhKWDJMblpmTnpLa2dESng1TldpZ0pOZVF6T0lMbHk0dzRWNmExWVJKWEhhYzZNaXA5WFhLaThLc21KRGNHMGRkYkRkRHRENA?oc=5</t>
  </si>
  <si>
    <t>The sentiment is 'bullish' because the headline explicitly mentions "supply disruptions" and "geopolitical tensions," which are both widely recognized as factors that can drive crude oil prices higher, suggesting a positive outlook for oil prices.</t>
  </si>
  <si>
    <t>Africa's Biggest Refinery Boosts U.S. Crude Oil Purchases - Crude Oil Prices Today | OilPrice.com</t>
  </si>
  <si>
    <t>https://news.google.com/rss/articles/CBMirwFBVV95cUxPXzNmVmlZNEpJRHpEMVMybWg3SUxsNFptZXVLSTJDdmlnMWdCelNfUmk0cGtsM0dKb1JtU2hMVkhxVE5mYkJocDd6azYtODFxUWRrQUllSVhaaVJfT2ZYMjA1a3BZd3BNMHNjM0JyZy1aWXhBVENpaXliWEtBTFVOREJxd2gyaC1BcDJCYno5RXZwZFlDOWJGSk8yMlpHTGFSZUFmOTRHQ1g0ZzFib1VN0gG0AUFVX3lxTFB6QVhLa015QmRCM1BtWEd4VzV2TlhUSE9WbVZreGNUeHJ2UncwS2RUMTZad0dTUjM3WVRzUEV2dHVHUjN3SmV0THg3U0JaOF96cUtNb0dENHAyUlFuQklrUnp4dzQtcDdMOGxaNEV1Ulh4WklHeDBnLXFYRFQ2RExSS0JtZjF3Y0U1cGl3X01DN1NxbDFaUFAwYWExUmhxYVBETnpZcnBnWHBYeWRmNFV2LWN2aA?oc=5</t>
  </si>
  <si>
    <t>The sentiment is 'bullish' because the increase in U.S. crude oil purchases by Africa's largest refinery suggests an uptick in demand, which could lead to higher crude oil prices, benefiting oil producers and contributing to a bullish market outlook.</t>
  </si>
  <si>
    <t>U.S. Sanctions Hit Iranian Oil Smuggling Network in Asia - Crude Oil Prices Today | OilPrice.com</t>
  </si>
  <si>
    <t>https://news.google.com/rss/articles/CBMizAFBVV95cUxPcG1PVXdMOWdXbGU2eThnaWwtOEZIbldheS1HMW5aSi1aZU4tX1pULTZVR0JvU2J0eDNkeG5Rblh3bmN5RDJac0VhZF90dzdUNWZleXpYWmtFMjM4VjNNYXdUZXVXM1B3QWtFcVJ4YWdWLVdDeGJvZzR6b1pQUHkzUVBITGlqUFZmcEhrUnRRMVJRUlNNZTc4ZnM4WGxyNEdob1p2eGRIT1JMY3hwVXA1akdZT185NC1FUTFvNjhTN05MMWttTTVDMXNsMU_SAdIBQVVfeXFMTmVWNTllMDJWZmN0d0lOU1FyWDNoVGhLY204YjlvREU0bC1PZUxoNE5TaUR6N3YwNFI0eU5LS3IyaTFvUlYxZ29Zd25LS1UtOEZxR1hUMEhUMGo2ZXpBdlVneC1qVG5aRmR5NEE0a1AzdlB6SDBwVl9LSmJnenkzSklRY2NKSXVfQVlCZmRMUkVMRkFaZHQyeHN5OER6NmY2WFI3LWVtbHhFN09UdGVOdFpmODB5STg3clRpZEhTaTd3T3BGSE44WjBJY0QtUWpfNjln?oc=5</t>
  </si>
  <si>
    <t>The sentiment is 'bullish' because the sanctions on Iranian oil smuggling networks in Asia are likely to reduce global oil supply, which could lead to higher crude oil prices, benefiting oil producers and supporting the bullish outlook.</t>
  </si>
  <si>
    <t>AI Race Brings Energy Reliability Back into Spotlight - Crude Oil Prices Today | OilPrice.com</t>
  </si>
  <si>
    <t>https://news.google.com/rss/articles/CBMiowFBVV95cUxNTXI4Z0Q5MkxEbEhwQ3NRZnFRbWNzYV8zcjBzN2FYQ04xMG9KbUR0bEFSemhOamVhQmFIYmo4Ym91a0c0RUEtWW5abWtnb1pZRE1DYWdIOXhUNWVPMjdYcjBlMzd5RkpfNUR2Z0RqR0tTRkJ4c2tGZHVzUFhmYWdPQXpkY1Z5Q01ZUU1nd2J6bks4ZTNNN1lMZmtxSEtqQ1NCbEFV0gGoAUFVX3lxTE13NFQ2TTR3Vkk2SGhsVEw2M0Vrd3RsNDNFQ1c5WXp6Y2NYUng1RGpEekJIa3VZTkRQZDVUNmJNX2xrTlhpeVJIc1lfSWdURm9WOGdWSWRfUVgwN3JRYldFWTFobWFKNUxMdXJORThWc1JEdTFTSmZGNUtIMlAzZloybXM2VWhPbWRoaDlEc0Y0OGQwMWxjTWdscUtkOURPVnQxVVY5US1SSQ?oc=5</t>
  </si>
  <si>
    <t>The sentiment is 'bullish' because the article suggests that the increasing focus on energy reliability, driven by the AI race, may lead to increased demand for crude oil and subsequent price support.</t>
  </si>
  <si>
    <t>India's Top Private Refiners Boost Domestic Sales as Export Margins Drop - Crude Oil Prices Today | OilPrice.com</t>
  </si>
  <si>
    <t>https://news.google.com/rss/articles/CBMixgFBVV95cUxPa0Z5czNTYUtrS0hWay1JOWlWbEtDYVpXRDN4OU14SzZXRUtEUko1QmdfVm4zaTJ1R2g2SEYwX2NDZEw5QUlFU1RWb3pBMThERUo0dzBwODRLSUVIbUZNVnViSUhnRkpmeFhPVENLNWRucGhsREk5cUVCSW52THpwNFRUWS1VaGxrME05MGlMNkdJTWdpckpNTHNvRVdpc0VNVjRDMGl0ZDFNc0tBRFJCbElKX1BlYTB4REpidm51ekhqdmt0OGfSAcsBQVVfeXFMTVdaXzRISHF1UXlEQS00azUwM3hFNDdiREhDX1I2d1dCemd4WnZfUWtBOW1TWlFiWFhpMG9Wc3U5UnpfYktTeUlLNWN2cTNIOXR6Tmo2bGp0MmZxRktlUjhMeFJjNV9DTkxoVzVXdk5vajJkdDk2aDZIc3cyWlhwOVRrWHRaMWdFUEN0WHpNOEF6UHRjOHRaWDA2Ym1oNlFXRjZhT21oX3NTV3IxcVNBX3ZFYVdfQklSRXlqTURwbXRhUm10WnhKVF9nVjQ?oc=5</t>
  </si>
  <si>
    <t>The sentiment is 'bullish' because the headline suggests that India's top private refiners are adapting to changing market conditions by shifting their focus to domestic sales, which could lead to increased revenue and profitability despite decreasing export margins.</t>
  </si>
  <si>
    <t>HSBC Sees OPEC Output Hikes Weighing on Oil Prices in Late 2025 - Crude Oil Prices Today | OilPrice.com</t>
  </si>
  <si>
    <t>https://news.google.com/rss/articles/CBMiuwFBVV95cUxQa1hVbVJXbXZfOUExRllUYlpoZnVvQzNfbTZQR2RST0syX0xOOVFmdFdsZ2Y3RFREUnVEWUhHZDdYVTVWZnVQVjJoLWwyYm9Xa1RCNEVNcVJNT2h3bS1MRWJSam1ZNjNIVDRieHdDaC1kQ1RaWE1HdUptTVg0cElhN0t0NDlUdklrbkx6cXpScGpscnRaVkZGc0M2cm9ZWm9pVDRHNGRUaUcxS1pXRjN5b1NOUVpvQjdmZHZv0gHAAUFVX3lxTFBUQ01VQ3NJd2dFWVJ4d0dxb3c0cU1yZERZQ2h4TkN1b2FEUGxnLVEtZ251Rmh0aDJ6YjllX0l4eklkdnVZb254S3J3YTN6SGdHOUoxblpBcTd6SkEwV2gxOFdMYW5MeVVyM2JfMGxZSmgwSTFhRXRLbTBhS1dHZmxIR1A5QTNOSW9ieHRqY1BBWDFKaVA3akpCTDM3WUJQM0FENEF1QS1xbjJuWkdNbjVBaVpOVkN3ZzRLTkVLcGl3NQ?oc=5</t>
  </si>
  <si>
    <t>The sentiment is 'bearish' because the headline suggests that HSBC expects OPEC output hikes to lead to downward pressure on oil prices, implying a negative outlook for the market.</t>
  </si>
  <si>
    <t>Watch Summers and Ferguson on a New US-China â€œCold Warâ€ - Bloomberg.com</t>
  </si>
  <si>
    <t>https://news.google.com/rss/articles/CBMipAFBVV95cUxQSzFZMUtEYW8zMTZYNFgtdDR4RWNlRWtnelAzT05ZRHYyWFMyQlZ1VFBJMlNIelFuc0ZDR2hsN0tfS0xoUlh4OUh5TVJoOXJBZldBWXgzeldELV9aMGZuM2hESjdIX3FkYVBwMjg0N3A4OHdoOGRMZGo4d09ONXBsZUM0NldMUzZVbERHcktqVVI2cmJzdGZYVWtsQ0NMcUdfcVVVOA?oc=5</t>
  </si>
  <si>
    <t>The sentiment is 'bearish' because a new US-China "Cold War" would likely lead to increased geopolitical tensions, trade disruptions, and a slower global economy, all of which would be detrimental to oil demand and prices.</t>
  </si>
  <si>
    <t>Crude climbs on US jobs report, China talks - Reuters</t>
  </si>
  <si>
    <t>https://news.google.com/rss/articles/CBMitgFBVV95cUxNNkdmWTFxZDJwdU9ESzJKcjlpSWgyQzlJLUtkOEwxb2tXSTJRTzVpeDEzM2s2ajRCeHoxVV91emtmUjdzanZNZjhld2g0RFd5RERqQnhpYlk2MXhtSlY4QkdMX3RXMS1aa0JaZWR0Qk1tcHd3SVU4TVNBNml1YkhwNHN2UDEyOTdnWGFoMTExSmRuQUJCYXZ4YlRPdHp6cXNQcTV4Mm1sM193RmJIVHE4T2tZR2dmdw?oc=5</t>
  </si>
  <si>
    <t>The sentiment is 'bullish' because a positive US jobs report and progress in China-US trade talks are likely to boost economic growth and energy demand, supporting higher crude oil prices.</t>
  </si>
  <si>
    <t>Nigeriaâ€™s Dangote Oil Refinery Is Buying Ever More US Crude - Bloomberg.com</t>
  </si>
  <si>
    <t>https://news.google.com/rss/articles/CBMirwFBVV95cUxPRVFodlhQa2FDZFdMeW4tcnAyOFBqcEdaX1lNamMtTXJvOFloLUpHWFdoVGtXY1JILTg0Yk5OajNxVW1QR1VsWm1oakJpSmtKWkZHQnpGVDdWazVwM2pzNWJsZVNYaGZ5T3NuUnFmRVU4UDlHQjhDdmFibTZXSEV0dkpjcG03TG9lUTh3RnNuSHlFM1VjWm9zYlhtMmFHZ2NnY25pVHlsT0lNZk1BMmFZ?oc=5</t>
  </si>
  <si>
    <t>The sentiment is 'bullish' because the headline suggests increased demand for US crude, which could lead to higher prices and a more optimistic outlook for the oil industry, particularly for US-based oil producers and exporters.</t>
  </si>
  <si>
    <t>Spain's imports of Venezuelan oil dry up ahead of US sanctions deadline - Reuters</t>
  </si>
  <si>
    <t>https://news.google.com/rss/articles/CBMi1wFBVV95cUxQTjVyNUpCQy1TTGQ4al9STldlbHdEbTdodEZSQVZlN3FoaDIwOEZGQzIzNm0xdVZEVGREbU4yOHpZemhndVpQTy0yVlZzTXNEaTU1YlVJZGl3dEphVWVvR3VoWTNMY1RxMDFuLXp6OHdBa010Szk3MEw2S2FtZ2Zya19fVWFFeTlfWXp6dmt2NGFtSklJc0VHV0U0NUY5V3lIX0tQYkJDZEdsYjRYem41Yk9adC1tdkZFOTQtZTIyeldBQTVweElKZmx0S1JNYUtzenkzcnY5SQ?oc=5</t>
  </si>
  <si>
    <t>The sentiment is not 'bullish' because the headline indicates a reduction in oil imports, which could contribute to a decrease in global oil supplies and potentially lead to higher prices, which would be bearish for the market, not bullish.</t>
  </si>
  <si>
    <t>Businesses Urge UK to Cut Energy Costs for Industry - Crude Oil Prices Today | OilPrice.com</t>
  </si>
  <si>
    <t>https://news.google.com/rss/articles/CBMiqwFBVV95cUxOWC1kUDEwYnNwdTBRMjZDUWt6WFdtTkhoQ2w1Vk1abno0MkZHM3FRdE5zNGJKb2IxZ21WTkNTcWQwenZTX2dDN0x5NkU0a3dWbnZYaXN2MlVDaVZ3cXRGN3lpWlotdmRwVVk3UFd2RjUweWZwM0xOZmhvY2x4M2VORFZyXzVFWV9xR3Z3bDFHZlQ0UVVaWVJqRW14LWUzMFdlTmVfV2laTjBXQXfSAbABQVVfeXFMTXNHWHBxMjRKSnB5Z1JRQ3Q2TVlmMmJ0WGlWWVNWYlktTFBBZUhiT3JvRGNRWUp6UlV2MF9VSmRwVGhBSWd0MWUza2JnQmstWktlV3lUdGd2TFB5MWVMcHdSNS1TVjNwR2pJNXB1YU9wbU9qclNLRnpvWGNPU0NiVjZIYXE3Ull2VGJnNTU1a3RpYjdRNUU5cnJTb25CRGVycXRXYnV4UWJ5NW9lMW1vTDI?oc=5</t>
  </si>
  <si>
    <t>The sentiment is 'bearish' because the headline suggests that high energy costs are hurting industries, which could lead to reduced demand for oil and subsequently lower prices, a bearish outlook for the oil market.</t>
  </si>
  <si>
    <t>US-China Trade Talks Lift Oil Prices - Crude Oil Prices Today | OilPrice.com</t>
  </si>
  <si>
    <t>https://news.google.com/rss/articles/CBMijAFBVV95cUxPOHVDcG9xYW10SVRwSjg3ZEFIQXVhQk9jUnFIQl9oWjR0TTVZRk1YSnRvZVNlcGFBamxhUDdsQWdMVnQxU21Fbno4NlFlT0hzTlMyeW5sdW14YlVkbWFabklIeU1nRWFfNlZDS1U2SjdXUlRycW01WkxiRVVESGtra2R5dFNSWjFqVThWcdIBkgFBVV95cUxPaUVJbFZJWUxXelZrN1NBRy04OTZaT3NWSGxMeWE3cWdlTWV1NEdDaTAtVm1sSFRpZ2tYUXNaTldRd0NMR1pZYlY4alJTMWdNYlJIVE9vVWwtNmdRbkFlTmRidThYNDdxOEJ1T0pCMEZ2LVV3TWVCRk9tcVJTNHdpdXM2V1MxWk1nSDUwRUk1RnlGUQ?oc=5</t>
  </si>
  <si>
    <t>The sentiment is 'bullish' because the headline suggests that the resumption of US-China trade talks has boosted oil prices, implying a positive outlook for the oil market driven by increased demand and reduced trade tensions.</t>
  </si>
  <si>
    <t>Oil Holds Gains After Trump-Xi Call Signals Easing Trade Tension - Bloomberg.com</t>
  </si>
  <si>
    <t>https://news.google.com/rss/articles/CBMingFBVV95cUxQeGNKYWVqWEwtU3ZnVGRYNm01ZUEzRTFHcWk5MU1nVmRHN0FqaThLZXR6ZkI4WWlYV19tQ1dUaDkzaVJsbUdhb3BhRVh5V0FkQS1FYkVJOWw5RkFvdldDb1FDZzZmbzI0VU1lazFwdmxtYklham5qRG5mU05kNjhuelhxdkJrWkZ1dUNOY1E4cG1XUTZhci00czAyVjQ5QQ?oc=5</t>
  </si>
  <si>
    <t>The sentiment is 'bullish' because the easing of trade tensions between the US and China, signaled by the Trump-Xi call, is likely to boost global economic growth prospects, leading to increased demand for oil and supporting prices.</t>
  </si>
  <si>
    <t>Oil Extends Drop as Saudi Arabia Seeks More Major Output Hikes - Bloomberg.com</t>
  </si>
  <si>
    <t>https://news.google.com/rss/articles/CBMingFBVV95cUxNem5DOFdLdDh5M0h2VVRrb0xEdXRqOXpkRDk0RjEwMUYtWFNBYnVneGtmaUJVYjcyOFpCXzBtYXRjMTRENFB3cGh3X2Q4d2ZWMGxpTHdsRDY4VDk5eUdJVjd5UVNQVjZfMVAtQjVIQTVqQnNkSjNwMXJ4dFYtYU83LUZDSXNjM1lwd1QzSWJQVTJ2MVRCLWVnUzVNRUR5QQ?oc=5</t>
  </si>
  <si>
    <t>The sentiment is 'bearish' because the headline suggests that Saudi Arabia, a key oil producer, is seeking to increase output, which could lead to a surplus in the market and downward pressure on oil prices.</t>
  </si>
  <si>
    <t>Permian or Bust U.S. Oil Growth Has a One-Basin Problem - Crude Oil Prices Today | OilPrice.com</t>
  </si>
  <si>
    <t>https://news.google.com/rss/articles/CBMiowFBVV95cUxQRjVxd1NvOFY3NlhJalFrb1J2am15SEFkdHF1ZzEyTFJfSkV3c01SU2xmUVlNcHUwRUlMcnRIYlJTNUtVaHlISUxuRDZ3VDRFWXlGb25NenJUc1hpaF9DSUhHNm1ndFA3N3BjTzZXTk5XWlB5cXR2clpUQklrTVBIN1ZaVlpzMXZPNzNmcjhCcEc4RjFJQVlRRExGSUpQUm92b0xV0gGoAUFVX3lxTE1JRWRPQm9NeFRpcGMyczVNZU1SUlRKZ1N2LU02R3RodGxkVnR4QlloVXFGaU1rako2ZHVHRXhHRlROY2ptZDRjQkpyTmZoQWlZQVZlaEhZYTdIX1VJRlJqWFVrVl9PdkpXT2hHMDR4R2NfSG8weVB5Rm1uYkRDMG5JVDBjcmdjVThFZldueWttZUdXSEh1czdCTlJMVVF2eU9FQXJ0Ry00aA?oc=5</t>
  </si>
  <si>
    <t>The sentiment is 'bearish' because the headline suggests that the growth of the U.S. oil industry is overly reliant on a single basin, implying that if Permian production falters, the entire industry's growth prospects could be at risk, which is a pessimistic outlook.</t>
  </si>
  <si>
    <t>MIT Technology Could Slash Energy Use in Oil Refining by 90% - Crude Oil Prices Today | OilPrice.com</t>
  </si>
  <si>
    <t>https://news.google.com/rss/articles/CBMitgFBVV95cUxOai1la2Uxenp0cmhXa2N2S2RjWGdIdXczeVBOTUdMRDYyTFIxd0FuNXMwOExGVU9WTTJ5dmZVQ1BHTmJNZTc5UEJZT3loc1hwZVd0b3dOUUdCUlhibTNQU1N2QW5lMXFlSERrVk1CbVFRZnNRc3JsNG85c0JVTHdZWVlJWVhwZjBZZWxDMTUzN1p5dlQ2LUJEYkU1MGpDRGFoeTNVUktkcXQ0elhUWG4yUlJYOXIwQdIBuwFBVV95cUxQaGtMYTdKWlpoaDdfS1RHOEktX3Z1Qm1INld5YlFXM3UzRkROR1hzaG00U3hxRS05YlVFYmxQTHNyTWhyXzVJQTRxbkNuRnc1UDE2NDhyclY4MUE0Vi1IcEFFVUJQby1MREoxWU5LQzJqNHhJNzIzNHg3SFpMZDNiblZPTGhYQlBQZEUwd0I2bVI0Sk9BV2w1d2MyU3F1ZkVMZTlsLUFxdi1nTkk0dVZHemhLcnZ3T2lUdmdn?oc=5</t>
  </si>
  <si>
    <t>The sentiment is 'bearish' because the potential for a 90% reduction in energy use in oil refining, if realized, would likely lead to a significant decrease in demand for crude oil, which would put downward pressure on prices.</t>
  </si>
  <si>
    <t>Sustainable Aviation Fuel Faces Uphill Battle To Become Mainstream - Crude Oil Prices Today | OilPrice.com</t>
  </si>
  <si>
    <t>https://news.google.com/rss/articles/CBMitAFBVV95cUxOM3h6WVA5eVgwalJxeWlKSGEtRzgyYmQ3VXJLMmIwTXp3SWQyUGM3RWNHS2hXdkZpMk43ZHE5WmRNdVdLdWd2RXBxM05SQVVseHR1YWhrMGZwVmhWb08tVG1qcVVaZ25kc2U0cHg4RHg4YTRpaFFWN0I1UmY3LW81SDF1R0trb2dySXdLZWRfZ3BIWjFRYjE5TnlzV0ZaWmt1OFk0LXdzX3Z4cDFWcjZZcGZBQS3SAboBQVVfeXFMUEQtWTRRVlRCMmJYLVdqLUZxRGhnUVhmNjJhNGhZMXNfcmltMWtIb1lsckIxbTMxOFg5X0hJaUNUM0JwRjBtd0g1eGl5SmpialRFWjdBb1I2QlBma2I0RUJ3Mk5xbHI3OE5kbGtORzM4b2tXWnZIV2xCSG11ckNGaEdxb2ZSYUdKb2hwNWx6WF9xdVZybHE5Q1A3cjFMc29hZlFiSnowMmhzR001Tk1NUHFHTXFTNkk1RTJR?oc=5</t>
  </si>
  <si>
    <t>The sentiment is 'bearish' because the headline suggests that Sustainable Aviation Fuel (SAF) faces significant challenges to become widely adopted, implying that the current dominance of traditional fossil fuels in the aviation sector will persist, which is a negative outlook for the growth of renewable energy sources in the industry.</t>
  </si>
  <si>
    <t>Oil settles up as US, China teams to meet following Trump, Xi trade call - Reuters</t>
  </si>
  <si>
    <t>https://news.google.com/rss/articles/CBMipwFBVV95cUxQWnlmZTRSYjZUOTVoRWhDcmxCclJFQWRacm45b2xIRHZDc2xsRDd2WVkzVG03OFNBc3F1cWt6TGY2cUE0eDNLb3lydU9zeVVPeXl3QThDNktXWDdtc3lQaUZpRFJ1cWNmWnBrYUh1MVN1b3Y1Nmxlb1oxN0FkT3NMbWdjTlp1aHZRdVY4YTFEV0JrY0RzV3dvZFBtdkJmN19sQ3RBbHZnOA?oc=5</t>
  </si>
  <si>
    <t>The sentiment is 'bullish' because the headline suggests that the US and China, two of the world's largest oil consumers, are taking steps to ease trade tensions, which could lead to increased demand for oil and thus higher prices.</t>
  </si>
  <si>
    <t>Traders Flock to Niche Options Market to Bet on Crude Oil Glut - Bloomberg.com</t>
  </si>
  <si>
    <t>https://news.google.com/rss/articles/CBMiswFBVV95cUxNdmNNUEdqLUExNkV3azA5WjhZeFpWOTB0TGNCamNJUzFkNjU5a2xQcXdhTTBpUmkyXzFVelBQLTcxRldaNG9DdlNfdzJxS2RfTUNjWG02aDZwTXEtOHJrRDBqVFFrbGgwSjdOOEE5MlhUcVFvNnJWOGFITURMdjA5MUFRS0ZVQkFxMnpkOXRhNDQxbjJtdm9MQllPMFhQcjFxb0d5aXREbG4tNTUyUDFFWm5fTQ?oc=5</t>
  </si>
  <si>
    <t>The sentiment is 'bearish' because the headline suggests that traders are betting on a crude oil glut, which implies that they expect an oversupply of oil in the market, leading to downward pressure on prices.</t>
  </si>
  <si>
    <t>Russiaâ€™s Crude Production Remained Below OPEC+ Target in May - Bloomberg.com</t>
  </si>
  <si>
    <t>https://news.google.com/rss/articles/CBMirwFBVV95cUxObUhrcDhxUVpxQ1pwM09TX0F0NDEwZnRPYUNpWXNZNk5hbFpjaU9tX2NQdjlTVS13ZmRqWTRkb1lKNV9Laml0V1FEZ1p0SDFnVU12QjdJMHZ6amhaMWxGVHp4b25iMXN3V0xsMGNyaUY2NDRUZUlwSldLVjlCN0N0aTVxbHVUNWl4UDRNUFhpNGNLLWYzODJPV2pkSGJ5YnZWVnNiOU1KbVNtSXZINVdz?oc=5</t>
  </si>
  <si>
    <t>The sentiment is not 'bullish' because Russia's crude production remaining below OPEC+ target in May suggests a tighter supply market, which could lead to higher oil prices, but the headline itself does not necessarily convey a positive outlook for the market.</t>
  </si>
  <si>
    <t>Local firms drive new growth phase in Nigeria's oil sector - Reuters</t>
  </si>
  <si>
    <t>https://news.google.com/rss/articles/CBMiqgFBVV95cUxNMkpuakY4bzJrTzRTeDkyejNscEpueDFtNzhmOUJJcHp5TjQwZm1XdkkzeVhfRUc1bjVZeXEya2JBeTV3YUJkZUY1d3dyOERzUTFkTHItWFhNTkMzTXJ1UTQ3N2RPYnk5d1h6MnI0UUlpWVBLWVZhWFRCbUVzaFYyejEyMEhiNlVZbk5qTFdEWlNTSHI4TVRybjVjcXlsd0xXb1VnZ0pqZVkwdw?oc=5</t>
  </si>
  <si>
    <t>The sentiment is 'bullish' because the headline suggests that local firms are taking the lead in driving growth in Nigeria's oil sector, implying an increase in investment, production, and economic activity, which is typically associated with a positive outlook in the oil market.</t>
  </si>
  <si>
    <t>Oil Holds Gains With Focus on US Inventories, Canada Wildfires - Bloomberg.com</t>
  </si>
  <si>
    <t>https://news.google.com/rss/articles/CBMingFBVV95cUxNS1ZXZDJFbjZJOXJYVFdlSVF1UVp4TXdJclpINEh5SGh4NEJQMmZyNmRvXzY4UVBrQUtUTnhjMWxQY0FSWllxV3pwSmpReWVSaWc1U1ViVV8tWHpHUVEzcUp5ejRuS25xWXRtU3dqX2lEQ3JEanZsU1BjN0xOR00ycXl6U3d0Y3VfUUVtX2N4WFdXcjRnLWR3YWhWYkZiQQ?oc=5</t>
  </si>
  <si>
    <t>The sentiment is 'unrelated' because the headline appears to be providing factual information about the current state of the oil market, specifically the prices and influencing factors such as US inventories and Canada wildfires, without expressing a clear positive, negative, or neutral emotional tone.</t>
  </si>
  <si>
    <t>Oil settles 1% lower after US data shows large builds in fuel stocks - Reuters</t>
  </si>
  <si>
    <t>https://news.google.com/rss/articles/CBMiswFBVV95cUxNUjBseWpnV3I3Qm5ieGJsdlhsNEVET256RmNCZlIxWE43ZlczRUFLdll1dHRqWTIzcXc4OUpxM0NHSHI2NGoxVEUwTWNGNXlSMHFzMVdKVjlwdnlrWXQyMXVBVERjc1N5c29MS2x6R2R4Z0UtbmRCTGw1ZVI2cTBzTmJkTWIwOTFLUkJwRmFNWjRfNUlaWkluaDJOX3dqWm5US1NOMW9QRTdHUUFfVEcyQXplOA?oc=5</t>
  </si>
  <si>
    <t>The sentiment is 'bearish' because the headline indicates that oil prices declined due to a large increase in fuel stockpiles in the US, which suggests a surplus of supply in the market, implying downward pressure on prices.</t>
  </si>
  <si>
    <t>US crude stockpiles fall, fuel builds as refiners hike output, EIA says - Reuters</t>
  </si>
  <si>
    <t>https://news.google.com/rss/articles/CBMiugFBVV95cUxNdXRDa2pTdUt5eHV1OGVlWGkwZHJEN1h1eklveHUtNE1MeTNLNmUtUHlyVXJwbWlEQkU2UkZsYTg2aGdoM0VNNTA1aE9HUGEwR0czdV9xMVZGTXBOSnBjakJ0OFdmR1E2bFpMbWk0NFhNcEFXZVVWV0pzb0ZHTXpmLXdPVXdUSkFKeVNiakNxMnZ4RmppdEpXX2VFdDNuakVuSG13US1zMmJpUEs2MEtmSWZ1ZzliZWd5M3c?oc=5</t>
  </si>
  <si>
    <t>The sentiment is 'bullish' because a decline in US crude stockpiles, combined with an increase in fuel production, suggests a tightening of the supply and demand balance, which could support higher oil prices.</t>
  </si>
  <si>
    <t>Saudi Arabia Wants More Super-Size OPEC+ Hikes - Bloomberg.com</t>
  </si>
  <si>
    <t>https://news.google.com/rss/articles/CBMiwwFBVV95cUxNNzJDaUdEUXl3OVBOZVNhdFd6YlBvN2FUdlQ2Y1Fad1puaGlXc2tabTBDREVuTVczOGRueVlYc0NLMmZiVEszNnp4UkJ0THZBQW5ycElJMm5LRVJzMWc0d211NHZjTGN0azlhU0NBZjl4OVQ1dUpYNjhKZ21FUXlQSzB5V1B3NU5JTEpTYkwtLUFTYlp2Y0VDemwtZmk0QjhZVzlmT0tTV3BSS083S19PUzk4RkhJalVrdzB4a2ZUdWxma3M?oc=5</t>
  </si>
  <si>
    <t>The sentiment is 'bullish' because a larger-than-expected production increase by OPEC+ would indicate a more optimistic outlook on oil demand and potentially lead to higher prices, benefiting oil producers and exporters.</t>
  </si>
  <si>
    <t>Russia's Wealth Fund Shrinks by $5.8 Billion Amid Oil Price Slump - Crude Oil Prices Today | OilPrice.com</t>
  </si>
  <si>
    <t>https://news.google.com/rss/articles/CBMiugFBVV95cUxQLXBTRTEtb2RGcHlIZTBnTXp2bG5Qblh0WW1aSVpuMFh3bDdYRk1va0Q5ZGRjS09UdlhlMi1jWDkzR01rckU0LUl4MTNlZDRwTnpFeFRpM2hxLUozS21BMnZWQV9NQzBzbVd6QjhaSnZjSTJzTjJsVGNzN1ZzZ0huQktGSWgtNFViWS1hVWFzNFZrZ21sOERqQ3hNWG1iRkloRWczMmhyaEVxVW9aUlpQazNPWEZ4VElKN2fSAb8BQVVfeXFMUG1FYXBvYjYwSzVZRHVNQVdkZHdmNEpTdnpOaXRjSi12Z2phc045RUk5MEM0SDkyd3RqUlVmNTZJbVNDXzEwOU9aUGhxTm1vdExhYWsxcmFfdHhBVVZyWUtIZk4xakZnX3JKWDZhdFljTUw2YWkyN2NrTlFQeVVmbFhZM29LSXd5U3pmZzJUNC1OV1VwR1pHczVOeVR0TlkyZUc3ZndMT0g1WXBNRUJiejZoQzJ4YzJQMmV5a3UwVm8?oc=5</t>
  </si>
  <si>
    <t>The sentiment is 'bearish' because the headline indicates a significant decline in Russia's Wealth Fund due to the oil price slump, implying a negative impact on the country's economy and the oil market as a whole.</t>
  </si>
  <si>
    <t>Banks Expect WTI Oil Prices Below $60 for 2025 - Crude Oil Prices Today | OilPrice.com</t>
  </si>
  <si>
    <t>https://news.google.com/rss/articles/CBMiowFBVV95cUxNR0RlYXpHbjB2VnV0WVFRQ2FzVW5xN2FmUUFRaXJnQldGV3pJQ0U0bnNuQTNBUjRvU2E5NDdud0d1Wm9HdWY3c2hibHFxMDRld3dJTllvQjZ2YjFLZnRLSzcxVWVUQ0hEVEExSTJqcFlYN2NGWFJ0X0xYTkxrbHptQlpWcF94enp4Zkd4SUExWFE1MXFwcmU1M2ZCU0prLUN5cy1j0gGoAUFVX3lxTE1GQ25YTVZfamF5Vlh0WGZmME8tMHItNzN2eTVDZUw5Yko0cTQ0YUxvMjlnQWNHSHVFOEpIVVVTcUZseVlJb2kwYU4tUTFoUXBrdmNpV2t4Ym9CN2JMNFEzeFJuMkw3N1JQdnlsY1pLaGg0Tl85RDVCVUVfZVpqVkJBUzNjeVVxajhEYlhNaGFHUUpoRjYyUlJfeHFJc1dvbEkybm1QTlJuWQ?oc=5</t>
  </si>
  <si>
    <t>The sentiment is 'bearish' because the headline indicates that banks expect oil prices to remain below $60 per barrel in 2025, which is a downward revision from current prices, suggesting a pessimistic outlook for the oil market.</t>
  </si>
  <si>
    <t>Oil Industry Profitability Under Pressure - Crude Oil Prices Today | OilPrice.com</t>
  </si>
  <si>
    <t>https://news.google.com/rss/articles/CBMijAFBVV95cUxOTTllSWlsSFQ1S1FyeWgzT3B4UER5T1FyY2hLZVBEZ3lZVnozTXhRZV9wQkVULXJJSUJlNV9fZUotZ2hWb3JERWlTb3N0VnowVE1FWXI5ajhDV0tIWlFMRXltanhNY3RZZHAyZDJ5cmdEaG9WVFRkZFJFWTBqaTl4OHY1aEVnZGZhTkh2SdIBkgFBVV95cUxOcEJuMnF4TWpZMUh3UUp3bE5fZk1kRjhDZ0oxN1FsSWowV2k0bjY1WDV2SGVpM3N3VXFWclNabDJnb2tnQ3dKUm5YcVUyRHQ2REdXRnR2eFdCd2g5VWEyRW5pQWFqS0duVmRwQVVDS2ZiUnBKbjV3Yk5HZ2NPbEs4Z2cwT0t3aWlVQ0hSZ0FaYm1uQQ?oc=5</t>
  </si>
  <si>
    <t>The sentiment is 'bearish' because the headline explicitly states that oil industry profitability is under pressure, implying a negative impact on the industry's financial performance, which is likely to be driven by downward pressure on crude oil prices.</t>
  </si>
  <si>
    <t>Oil Extends Gains on Weaker Dollar, Geopolitical Uncertainty - Bloomberg.com</t>
  </si>
  <si>
    <t>https://news.google.com/rss/articles/CBMingFBVV95cUxOQU0wemNwZVRJOUVPeVNjc0dVd1AwUFlBNkRvVUdpakhkVktjYkU0WW1qa0d4bXBnS0I5bEh0ZDY0LWcxTTMwUnYzUlR4MDQ5bGtYNmJlZE91eng1UUNWb085TUJsRERMelE4VkRQN2pVaXM4amtNUG1PeGN5NTIxUGttZzB1N2xWSlRxUkhkSTdLN3F2R1JXTHlMeHV0UQ?oc=5</t>
  </si>
  <si>
    <t>The sentiment is 'bullish' because a weaker dollar makes oil, which is priced in dollars, relatively more attractive to foreign buyers, thereby boosting demand and prices, while geopolitical uncertainty often leads to supply disruptions or fears of potential disruptions, which can also drive prices higher.</t>
  </si>
  <si>
    <t>Oil climbs 2% to 2-week high on geopolitical tensions - Reuters</t>
  </si>
  <si>
    <t>https://news.google.com/rss/articles/CBMinAFBVV95cUxOVkUxZEVBYmczcENSLTIwanpVRFBTYjZaa1NXWWJiZDBBVTRLVVVkZnZCalJ3MnVVYVo4TnhMdUVISkZrN29veFVsVUI2SXR6dngxWFcyWmJicklVS01QYWM4Sm9GMmFKLU8yOHVKYm9nZVNKR3RIN0FMRktyNHplaEdlMTQ0M0NSbmQtU0RNR0hjTzFrYWZtR3Z5c2Y?oc=5</t>
  </si>
  <si>
    <t>The sentiment is 'bullish' because the headline suggests that oil prices have risen to a two-week high, driven by geopolitical tensions, which implies a sense of optimism and upward momentum in the market.</t>
  </si>
  <si>
    <t>Saudi Arabia Tightens Grip on OPEC+ by Pushing Through Oil Surge - Bloomberg.com</t>
  </si>
  <si>
    <t>https://news.google.com/rss/articles/CBMitAFBVV95cUxQV1I1RjlSWnFfYm9zNVBOVG9FY19OaDVuYVJJaXVGUmNxc0ZLWGpCTS1JTHJaa1hSR3J1MFBGSWpDbVhOY09pUm41dElRUUlTNzVrZk91NUc2eFRBdDJreHg2N09NTmRJWTlnT0ozRDZqSjdPRzVrSjFUWHFTdXVJa19TdThrM05mNzNxUVI2eXVVM0VyOUtZUTZublJ0bXpiUUY3UjA4X05zTURwOTVFanNYNGo?oc=5</t>
  </si>
  <si>
    <t>The sentiment is 'bullish' because the headline suggests that Saudi Arabia, a key player in OPEC+, is pushing through an oil surge, implying higher oil prices, which would benefit oil producers and bulls in the market.</t>
  </si>
  <si>
    <t>Alberta's wildfires disrupt some 7% of Canada's oil production - Reuters</t>
  </si>
  <si>
    <t>https://news.google.com/rss/articles/CBMirAFBVV95cUxNckhya0ZZN25YS0pUbFlpQ2RPVEswMGZDWjVsSHZPRjYzcjJSRnpCQ0E3TnhaamhmVlItZ3UyUFZDbzE4emVvb1RPNTdLZ1hYSkFUb1BaUy1SMDVSZGVtMlNKTkRBSFdWdk1oNXZLY0pKTEU1dEllblRKVzNVOWhHSE5iNF9yeGtRWlNaNjZoTU5pT3ZoMEVCTzdabV9HLThtV1hlU0JXZHBMSVRn?oc=5</t>
  </si>
  <si>
    <t>The sentiment is not 'bullish' because a disruption to 7% of Canada's oil production would typically be considered bearish for oil prices, as it implies a reduction in supply, which would lead to higher prices.</t>
  </si>
  <si>
    <t>Oil gains on supply concerns as wildfires disrupt Canada supply, OPEC+ keeps output plans unchanged - Reuters</t>
  </si>
  <si>
    <t>https://news.google.com/rss/articles/CBMitwFBVV95cUxPajZ0YnB4MjhJUzJ5WHJER0MteUNQOUl3aGs0cEgwWkg4Ty1XcS0waFFUSDZxa2J2U0xFUXV0M2VnYWlOWXRGMTdkdFl5dmh0S3gybWpSZnp4bDNDYkJCc1U1d0R6Y0F0TXkzT1ZUeFVJWkhIckdUM2Vyb3R3SGlIVFB3N0oyMHVsSEVkT2Z1VF9XZGRYUkFKclVwQk1KcFdpZFVKd3JHcjloT0NSSnVZMVRQclQ3Yjg?oc=5</t>
  </si>
  <si>
    <t>The sentiment is 'bullish' because the headline suggests that supply concerns, including wildfires disrupting Canadian supply, are outweighing the lack of changes to OPEC+ output plans, indicating that the market is prioritizing potential supply shortages over stable production levels.</t>
  </si>
  <si>
    <t>OPEC+'s crude output hike comes amid tepid Asian oil demand - Reuters</t>
  </si>
  <si>
    <t>https://news.google.com/rss/articles/CBMiuAFBVV95cUxNRzhNUVllbzJNT2EzUWJGVEV1bkRtcVczVzVfX3BkS2xmMEZ2Zk5rS014Nll0ckJlX1A2dS0zQ3lVRnNEOHdIdVNZaThia2Y1M2dBVElVRjNTUjNXVi0tM2RtcXh2S2g2UVJMSHBDeDFRczFOTkpTVjh5ekRUUHNuRk9GRmQ2TTJjbml4M2tNWWI0blJDWEhoeWk4QVEwZXEydGtoTDB2bHpxRjdxUnBNSUtJdURzOXJN?oc=5</t>
  </si>
  <si>
    <t>The sentiment is 'bearish' because an increase in OPEC+ crude output, combined with tepid Asian oil demand, implies a potential surplus of oil in the market, which could put downward pressure on prices.</t>
  </si>
  <si>
    <t>Oil Advances as OPEC+ Supply Boost Vies With Geopolitical Risk - Bloomberg.com</t>
  </si>
  <si>
    <t>https://news.google.com/rss/articles/CBMingFBVV95cUxObVFTeTl4X1hkVG90UHdXeXdjcEdQNFY3ODBJeUZ5Z2lZc0lNSmFIVXhoSDllTjMtc28taVVTQXFaWXJvM0NQWFpMQ0p3ZjJRRnN5N185TEN1WVFOM016bFl2RFZJTGtTdF9lWFRCbVh3TUdCZjYwZ0FqdlBjV0dUbWdxcVNWdmF2eUxNV01PRlVWNGctUXREZEtmTE9BUQ?oc=5</t>
  </si>
  <si>
    <t>The sentiment is not 'unrelated' because the headline explicitly conveys a mix of bullish (OPEC+ supply boost) and bearish (geopolitical risk) factors influencing oil prices, which suggests a nuanced and balanced sentiment rather than an unrelated one.</t>
  </si>
  <si>
    <t>Crude Below $65 Squeezes U.S. Shale, Even as Drivers Celebrate - Crude Oil Prices Today | OilPrice.com</t>
  </si>
  <si>
    <t>https://news.google.com/rss/articles/CBMiowFBVV95cUxPU1B3eGJxanA5R0tqLTdYMWkxWll3Umw2UWQ3ZHVKYjJEeF9PNXFtbi0wdDRyYmJSdHlmX3lJV1E1TU9hMDhSQUEyeTdVTzNkanNzYnVBWUpYa05OaGxIdkRvZXUybTc0NmpVb0FacU4xLWFPM2dfV1h1ajR1bDE3VlhvTm5xck5WZjR4c2hRcjY2cGpvZW8wdXdQU081VUwxQnBR0gGoAUFVX3lxTE9hNWNkX3Z1eTZFZDQtbllQMmFoZXZkaldvYXJtUHAya0xkVHJJWnhoUWxhMi1xMGpNZ0dVT0Z5V2wtaFozdEpOejRpYTRJRW1ILU9EbVhoTmpLa2h3ZG5jYU16WmVzc2pMSm9DRE9VR1hlY2VtSVkzUi1QSUdQRlMyaHlCbWxyN3dJMGpHZjNfUm1DUk1SeGEwMVdFWlBKM2N0RDNrMUJ4dw?oc=5</t>
  </si>
  <si>
    <t>The sentiment is 'bearish' because the headline suggests that low crude oil prices below $65 are negatively impacting the U.S. shale industry, implying a decline in production or profitability, which is a bearish signal for the oil market.</t>
  </si>
  <si>
    <t>Alberta Wildfires Shut Down About 7% of Canadaâ€™s Oil Production - Bloomberg.com</t>
  </si>
  <si>
    <t>https://news.google.com/rss/articles/CBMiswFBVV95cUxOdGh0c0VaRUdEMW1OZWJSaXBHbjEtanlrZTJVcDRmMjF5c0VZU25DbHpqT3lscTVreGJwMU82aWt0ckEwaW9FWll3cDVNUnZYT1phR0xfcEhkbDdoem9PZ2g3NURLc09uRHJvcWhSRXR3N3hnaGVDTlR1Vkpka2pRbUlQSmNHc2k4cXY5bjNacnJVRFdEVndxVEIyTFZsd0UtWmswRlJWOUx1eWViN0ZjbGxCSQ?oc=5</t>
  </si>
  <si>
    <t>The sentiment is not 'bullish' because a reduction in oil production, even if only 7% of Canada's output, would likely lead to tighter supply and higher prices, which would be bearish for consumers and bullish for oil producers, but the headline's focus on the shutdown of production suggests a more negative tone.</t>
  </si>
  <si>
    <t>Is A New Oil Price War Between The West And OPEC About To Break Out - Crude Oil Prices Today | OilPrice.com</t>
  </si>
  <si>
    <t>https://news.google.com/rss/articles/CBMirgFBVV95cUxNM0RGVkItVm9NbTV1UUVOQk9uelliY3pIczdmd0FheFNDV2VzUVIySE01RlV5YklRWjRoR1pKRHY0T1NvLVpQQS1BM3VYbU9fV1p0MnU5X0dGbFZ2ZWFPMWJSbXItX3FGQWxscEtTai1Ia19uYlpaR2ZJVmJtX09mV2VlalpxblBJOGhTQXpDdGttenNxNlc3VVEyOHpTbHlzb1NjVTVuVmF5XzZmWEHSAbMBQVVfeXFMUFctU1hSc2paSktFLTFteGVXaENsTmg1TjI3bjJZdjM4cTYzVllxTzJ5RnB6VFdvVldLRHlEcDdPZl9oTnhFSlNMQlU4aU5kSzUxaTNCRWRlcXVFRHd1ZUpaNUEyeFV0SDJuSUZ2X1kwc2UzaVVLckVmaVNsVW9NVkwzcy1fWWpPY3JtcUZsZThhZVV3LUxvVmk0NnRDcktuLWFqcWFjRFRVYlRZSUFiWWJpbmc?oc=5</t>
  </si>
  <si>
    <t>The sentiment is 'bearish' because the headline suggests a potential price war between Western oil producers and OPEC, which could lead to a surge in supply and downward pressure on oil prices.</t>
  </si>
  <si>
    <t>Goldman Sachs sees OPEC+ raising oil output by 0.41 mb/d in August - Reuters</t>
  </si>
  <si>
    <t>https://news.google.com/rss/articles/CBMitwFBVV95cUxQTkxJUUhqQTVmRzlWNTQxWEFFMHdVanNzNWVvMkotUFl3SHVxN3JRUmVLa29VQTNXeUdvUVlfdjhwbWxSVzNXTVhHZy1pTnUwT3gzdGFDY051VlM5YkJyMTMzU2ZqbmZwUnFfNVpVZVFPVVFSeFJNM2dBN2RtNEFxV0JJY3B4SEFScS1JY2s3ZUpUa3RBc2EyYzBZbW5RQ1NRVlpUbXI1dFVKZk5ZVENpV3pfVEZRaGc?oc=5</t>
  </si>
  <si>
    <t>The sentiment is 'bearish' because the expectation of increased oil output by OPEC+ is likely to put downward pressure on oil prices, which would negatively impact oil producers and those invested in the industry.</t>
  </si>
  <si>
    <t>Tariffs and Turmoil Undermine Trump's Oil and Gas Promises - Crude Oil Prices Today | OilPrice.com</t>
  </si>
  <si>
    <t>https://news.google.com/rss/articles/CBMiqAFBVV95cUxQLXZEU1QtY192VkFFSzlidFVMM1dhMk9RZkpWeWp4RmE5T0lWWWw2OWFWQUJQd2lmRFFKdjF5QVgzejdEaG1iTlQ2ZjBWRnJXZ3NoUTVka3hQYkZDYVdzeWxYbGZ4ZWlRWGpXNUx6VG1VVDVqQ25haGxlNDNZMzFVbFk0bXFSR0xramdXaFVGam1ZMndqVDgySHNra3lnLWFScXZXTUZ3M3HSAa4BQVVfeXFMUDNueXJ3bXY0UzNOWm5VN1RsN0JRbTFOSHM0UW1QNkVsVmdOSm1Dd1NpYWpIYmJOWm1UN245Nkt4U1BUWk9QTmc2SHVIbzlGS0RDdWNNSGJrcDFZNGo5US1YYnVGSjJwZlNzcUNjV2pJcGpCZ0V4VzR2dzZKZ0FSeDJKajA3aWVoekUxWi11N18xYTktVTdtbnZNc3poZXZNYXJyb00zSUNtWHFLeWJB?oc=5</t>
  </si>
  <si>
    <t>The sentiment is 'bearish' because the headline suggests that the Trump administration's policies, specifically tariffs and turmoil, are negatively impacting the oil and gas industry, which could lead to decreased production, investment, and ultimately, lower crude oil prices.</t>
  </si>
  <si>
    <t>OPEC+ Agrees on Third Oil Supply Surge Despite Russiaâ€™s Qualms - Bloomberg.com</t>
  </si>
  <si>
    <t>https://news.google.com/rss/articles/CBMirwFBVV95cUxQVTZSanRFblQyMzZkdjJKRGxQa3BSR3hGS1VIemtod3UyNlpfdGN6dFllVTVUVFVfR2xna1pPcnh6aVUzc093b1pSUktGM3ZSaElnVm8tUXhIT0N1X0NmR3phdzZ5RTc3bjhfYWlkZzdrZ1FFcHYxM0pFcmJJTXFzdlJ3R3lwYWpHM1RYTEd5bDZoY09oNEhIN0VxSnZaMlg1eC10YWVwNkpFektoYjgw?oc=5</t>
  </si>
  <si>
    <t>The sentiment is 'bullish' because the agreement on a third oil supply surge by OPEC+ suggests an increase in oil production, which could lead to a decrease in oil prices, benefiting consumers and supporting economic growth.</t>
  </si>
  <si>
    <t>OPEC+ oil producers stick to their guns with another big hike for July - Reuters</t>
  </si>
  <si>
    <t>https://news.google.com/rss/articles/CBMiywFBVV95cUxNajVieDdaeDhoRTJZalpycjVhUndpTzh3cV8yS1VQT0JmQXUwdml5Z3FQdU03T3o3ci16XzlnenU4d0tyY0UzR3pKa0JnMFhWakx1TmU3ZGlJcF9nc3dieHdoS1d0ck84dVZWb3VqZ25JX2FVZGpTbmlkTkpHN19tMnpaUGlHVS1ta3MtNmM4ajJBVWhSUlJjSzVfR1owSWg0aVdPYXN0eFZpQ1Y5TEpHT1ZtNk1yT2c5Y25CT3VWMG8wTWlwLVNqVXRzSQ?oc=5</t>
  </si>
  <si>
    <t>The sentiment is 'bullish' because a big hike in oil production for July indicates that OPEC+ is confident in the demand outlook and willing to increase supply to meet it, which should support oil prices.</t>
  </si>
  <si>
    <t>Oil price outlook weakens on OPEC+ hikes, lingering trade concerns - Reuters</t>
  </si>
  <si>
    <t>https://news.google.com/rss/articles/CBMiswFBVV95cUxPQUdiVzB3VUdWWFVkMEZMRjR6TjFBbkNHZDd6T2JWRmRYZjJMVFU2Z21OZHF2eTlrRkZPdlpiVEJzQTBTOTJMT0p0YUtzOEt5Q3ZXeUlDQjdxWHN5eTJWeDJKR1pFekt0azhFWkd0ZDNydXdjZ1BsVUVHbHNLRWlWRElSZ0xNOWJidzNSZ2p0UW9Zck11SHNZQUstSUxSWC12QlZIRkFFRXRVY2xOX1d1M2JHTQ?oc=5</t>
  </si>
  <si>
    <t>The sentiment is 'bearish' because the headline suggests that the outlook for oil prices has deteriorated due to increased supply from OPEC+ hikes and ongoing trade concerns, implying that prices may decline or remain subdued.</t>
  </si>
  <si>
    <t>US crude oil output hit record high in March, while demand fell, says EIA - Reuters</t>
  </si>
  <si>
    <t>https://news.google.com/rss/articles/CBMivAFBVV95cUxOMlpycWttNWEzcWY5Z2RxRTllMVhyYlpGX05Hb2tpbFBUNkd2eFdLUk1jZzdqY2xaeWtWS2NwV0ZUUTUtNXU1R1VWaW5EcUFvWWFNN3d6RllJejYwam8tLWN3NU1pWVY5RzNFZHIxSG1XRkhIMnN0aTRpZllGaDVrdXJHbFZYMHR1N29SX0FSR2l5VnRYcVBxVkk2YUlJbWlhamlLOXkxWnJhTl9xTzVocVRKYTVUUHB4MW1QUQ?oc=5</t>
  </si>
  <si>
    <t>The sentiment is 'bearish' because the combination of record-high production and falling demand suggests an oversupply in the market, which typically puts downward pressure on oil prices.</t>
  </si>
  <si>
    <t>Supertanker With Russian Oil Anchored Near China Could Signal Weak Demand - Crude Oil Prices Today | OilPrice.com</t>
  </si>
  <si>
    <t>https://news.google.com/rss/articles/CBMiyAFBVV95cUxPZFFmZ3c4cHJoc1N1WE5kREJWdGx3THB1VEE4Z0x5cnhMc2NEdG9GVW9ZZ0lhQmw2SEhYaTE0R21mNElNOFU5dmJSd2MtX1U0aVJ4dW1sTkFhMWYtckM2OUMxNG5YaDhOMXQzaDVWVDVpNS1RUG1wdUNmd2JWSElrcWxqcnZoVmp1dUdyUkRCclVOQVlmb2tjRWY0MzJwMnR4RXNUQjY5XzFNa2ZkSHNoc05CYUdncW1Qc1dPVm5mTWl4THF1OE9QONIBzgFBVV95cUxPTHJLdkowcDFuNV9xQ2tZVndlT0RWVkJDQTZFR3ZTN2dnaUJBeW1kX3Fndkd3MWJVd1B5ZmhyWmNFUDF6aGVOcGpuYTJmSEhQY2pUSVlWbWVYam05Y3JhR2thYlp6dm1BZjhOd25lM0ZONlJKS1RKbk9VZ1BpMzh4bHNmNHNxX29zM2xPSldTa2lMYVRNQVhLdzdzUW5sQWtpQUhVSVR1SkdmMTdtZjhrTHRCbG1KQ0xCTF9nd0pSamRhYjMzdmo3ajVjYkNkQQ?oc=5</t>
  </si>
  <si>
    <t>The sentiment is 'bearish' because the anchoring of a supertanker with Russian oil near China suggests a buildup of inventories, which is often a sign of weak demand and therefore could put downward pressure on crude oil prices.</t>
  </si>
  <si>
    <t>Oil finishes down on possible OPEC+ output hike - Reuters</t>
  </si>
  <si>
    <t>https://news.google.com/rss/articles/CBMitgFBVV95cUxOdmpmSlAxODhFNm9uWlRRTDR5YTYxNWpJejFJOGVidk1hN19QSlJuSVhSSy1oUVdhSHBUWW1pSWs2UHFTWWpoNGpvaVFHTGN4RmRJbVdlaUFvMTFqTjVlS01Mejc5QjhpcmVkZnVSWTlQTURtTlFDU2NubF91RUh2MW51aFlHc2p3emxoT2lKbUlxUVVjZ2huWWY5SmhQX2RGdmFHM2w1YVhES29MQndPVTY4elg0UQ?oc=5</t>
  </si>
  <si>
    <t>The sentiment is 'bearish' because a possible OPEC+ output hike would increase global oil supply, which could lead to a decrease in oil prices, negatively impacting oil producers and investors.</t>
  </si>
  <si>
    <t>EIA Paints Bearish Picture for Oil Market With Record Supply, Low Demand - Crude Oil Prices Today | OilPrice.com</t>
  </si>
  <si>
    <t>https://news.google.com/rss/articles/CBMixgFBVV95cUxQcnVDajY0S2pqTDU5VU0tUUtKS0Fzb2p4ZlJWVnpMTzFobGc1ajdndDNCQUhNLUwxZHc4OWtCV0wtWTZJNXNxMWJzcXY3X25rQU5FNzc1bjdEMGNGZDRxYXE4dVlyZEhfT2FMN3VielhueUpPMmlKc3I3OThTQnpfbHp2RDhzNk5FcXp6dzJMTkxXVElocFdsblVLNlpRb01yLTU1eU1ZcHo2VEdFQkVnaFlvLXdhOFBHU2dSMF9NUGpkUnc1SHfSAcsBQVVfeXFMUGo0OUJaUWFGOXNSSkFDa3Jsa1BFNGxrWDFNMk1oNXROZnNjMGE2dUswWWpjaUlacFpyb0ZiWm9vVzM4MzRUTFVoUUdaOWZ1OXZyU0dXaWNQREIzVkNJeC12WVl4a0V4eE5BMXJhNDZkUG8talpZbjdFaU13VGptYzBHWDZhcmFTUWFUcmZOUFdESnlxN3RFVTBaYWszVy0xLXp1T3d6TEI5V295X0xmajVkY0FTLUhKUDBJcWRJSy1RN09oc3NuMEFYaWc?oc=5</t>
  </si>
  <si>
    <t>The sentiment is 'bearish' because the headline highlights a combination of record supply and low demand, which are fundamental factors that typically put downward pressure on oil prices, indicating a pessimistic outlook for the oil market.</t>
  </si>
  <si>
    <t>Oil Poised for Second Weekly Loss Ahead of OPEC+ Supply Decision - Bloomberg.com</t>
  </si>
  <si>
    <t>https://news.google.com/rss/articles/CBMingFBVV95cUxQQTI0dnRLZzFfYko0eTVYNERnbmFoVzA5S1kzWUdTSEpEY3g4ZTVPTzVLdHh0bGJhcy0takdXWmpJd3lZN0VpRlBOODQ2M3dldzBraXlBZTJvcFVDWlMyWWFmT0loTEdDMWJlY1RDd0l3cmx4dzQ3cno2d2NjSVBOU2FGam40ckhaaUVoNVE1UW96X2ZkMnFkRzRrTEQtUQ?oc=5</t>
  </si>
  <si>
    <t>The sentiment is 'bearish' because the headline suggests that oil prices are likely to decline for the second consecutive week, implying a negative outlook for the market ahead of a crucial OPEC+ supply decision that could potentially lead to increased production and further downward pressure on prices.</t>
  </si>
  <si>
    <t>Oil Prices on Course for Another Weekly Dip as OPEC Looks to Boost Production - Crude Oil Prices Today | OilPrice.com</t>
  </si>
  <si>
    <t>https://news.google.com/rss/articles/CBMiwwFBVV95cUxQYmdKOXdGNTZmc3ZxVWJ5MXk3ZVFLOXlhc0sxRlhwUnE4S2ZmZUttUndOYnVSdG9FVVBNQzBrb19ZZ25WWHEyaW5EVEQyWC03YU94Z05GX0l1Z2VwNC1pa1IzYTZDN0k0eTlTQmgyTkRRNnVneWJpNUloLVJUUklQSWtPUzRwckNwbjFkMmE4QUdKTm5zUDZvZzl1bTNPemVVZWlCVUZRVWRSMlM4R1l2ZVhOSzdUWm9uZFFFZjFEOXlfV1HSAcgBQVVfeXFMTlVRRHZpRE5UWE1URm43U3VXbHI1b2VfdWphWTZXcXNLNnVtbldKelBJa21CY19zaTJBYy1GZXkyeUE1dlJhS2lwWmhqUGcwd1VmUy01VW1Nb2tQbnBCVE9TZmR5VHRIZEhibFViWXItckZseFFJN2pSWHFFT2tiVmNyaG1BdENwcjFNbDhXMGNLZnNTdnNybmlSU3pFRkRSaXZQSTF3aVhxT240Y2xnT1ppYXBxV1A1dzUxc1lkZExPU0NKalNmNXI?oc=5</t>
  </si>
  <si>
    <t>The sentiment is 'bearish' because the headline suggests that OPEC's decision to boost production will lead to a further decline in oil prices, implying a negative outlook for the market.</t>
  </si>
  <si>
    <t>US drillers cut oil and gas rigs to lowest since November 2021, Baker Hughes says - Reuters</t>
  </si>
  <si>
    <t>https://news.google.com/rss/articles/CBMivAFBVV95cUxNdURvdEV0LVd5UTB6QlRDRGVkTWxQb3g2VHp4NXcwS2d4aFozZVhuWVZRWWRUcmgxeDFxbm5TYmU2RW9UWF9iVmtwVklWVF80cTlkck5JcFI0ek1uRVA1eFZxVkJNOTZyazRyZVAzUmcyMERPV2U1MU1WakNpWVVzY0J3MWpoVlgzd0RnWU1EQmFJSFhJVTB3N2NZUHpNdjI3U0lqcE5hRXI2RjRJblFYSGI4NkxUaFZSVHY2Wg?oc=5</t>
  </si>
  <si>
    <t>The sentiment is not 'bullish' because a decline in oil and gas rigs typically indicates a decrease in oil production, which would lead to lower supply and potentially higher prices, but the article specifically states that the number of rigs has fallen to its lowest since November 2021, implying a decrease in supply, which would actually be bearish for crude oil prices.</t>
  </si>
  <si>
    <t>India's Oil Demand Growth Could Disappoint Market Bulls - Crude Oil Prices Today | OilPrice.com</t>
  </si>
  <si>
    <t>https://news.google.com/rss/articles/CBMingFBVV95cUxOaGFjNEoyOERlT0toSjJOSmVZN2I4aTVRdUQ0MzdGZ0NXUGw0bWFIcVdMZVRJRDdJWFMtbXhjeko5Vms4QXdZY1h3QVZ1NE8xT01KNHhRRXMwU2ZjdmF2ZFhFTkd1bXZSbnJ4bGNzNkJtVzhZVXBKaGtncmdZbzhINmo4WjVTUDB1ckkwLXRpT0pGUnoxMzdycEtoUXlXZ9IBowFBVV95cUxNU0xKTDVvNnRoejRlWUhuVDR6OEVTZVNoeGxNSGk0U2FCbVhVNUE4T0s2WFFvbmJ6RjJTV2R0WGR2bDI4Y2lNREF1VVdTZFZJMjZwYjdNX0Z1LU9Hc1ZUNTB0M1R3TFNZTmxzLTFvakpnLTQwYUdlQXpyZ3BxclFDZGFoelRGUU5iUFY2T2Y2TE5qSjZueWp2MjVaTGFjZkVxX244?oc=5</t>
  </si>
  <si>
    <t>The sentiment is 'bearish' because the headline suggests that India's oil demand growth may not meet expectations, which could lead to a surplus in the market and put downward pressure on crude oil prices.</t>
  </si>
  <si>
    <t>UAEâ€™s Flagship Crude Oil Sees Record Volume as OPEC+ Adds Supply - Bloomberg.com</t>
  </si>
  <si>
    <t>https://news.google.com/rss/articles/CBMitAFBVV95cUxPeVZVcEE2NVluUkpDRTItcmhoWTdfRWRzR1RlMVRGUWVITm9rMzBvdU4yU0dtMUpoX2FBek9PckpENzBIYU4zNnc1R3RTMHFxRGtqYjBfQ1kyTmtBM2J3eTh1QVIyWFJHa1h3ekRVZTlQXzhKWWxMaUIxaVktTjZRWG1MeTlydXNyWFNhZU1PMU9tNHgtMmJXTG5lSWhpV1JTWHFPRDY4TVItVjRqQ09zTThSUzA?oc=5</t>
  </si>
  <si>
    <t>The sentiment is 'bearish' because the increase in supply from OPEC+, despite being a record volume from the UAE's flagship crude oil, implies a potential oversupply in the market, which could put downward pressure on oil prices.</t>
  </si>
  <si>
    <t>Oil Prices Jump After Court Blocks Trump's Tariffs - Crude Oil Prices Today | OilPrice.com</t>
  </si>
  <si>
    <t>https://news.google.com/rss/articles/CBMinwFBVV95cUxQcWR1a1F4blR1RGdtbWhleGJTaW5laC12WjQwRzI0eFJvNlFqVUNDNHRSVDJUWl9iR2ZFVG1Fc1FWcTNpVV9Wa0VxaFpGRkdqZkVhaDVtdWtiRzdOLUp6MVRyUVF5bmN5elh2N1N1dXFHY1BBWU9pRHFqQkhTcjgzbWFjdWZCSU9oNU1SUW12WDFSRDdOVi1OdFlPWkJVZXPSAaQBQVVfeXFMUHdRVGktdjdOUk11VkdMUVdySmtCN3o0RjZkMmFQR09wRFZ0QkYyd3ZheU1EbHhFaE1LN3JmNVRqNm9SeFVJUV9JVnBpSno2Rll4b1U1OC1qMEVlYTBZS0kxOVdUbFo2NmRILVBSTE9JaU1hVW9wY1pXOEZiZnpOSy0wM0JBZWVsR2E5MHRqaXd4cmJIbkRIdV9DSUlmcVUyNUY1V3o?oc=5</t>
  </si>
  <si>
    <t>The sentiment is 'bullish' because the court's block on Trump's tariffs is likely to reduce trade tensions and boost economic growth, which would increase oil demand and support higher crude oil prices.</t>
  </si>
  <si>
    <t>Kazakhstan Can't Make Supermajors Cut Oil Production - Crude Oil Prices Today | OilPrice.com</t>
  </si>
  <si>
    <t>https://news.google.com/rss/articles/CBMiqwFBVV95cUxNMksyS241ajlfMG1Ha1o1YWlTVHFaS1Z0UHpfMU1UV2RHeHNlR2l3WVB0c01OOU9rRDNaZV9jME9sdTFMTEt2Ty01YzRUQ1E5N3EyM0hRRjNmeGpDX1ZFZTJaRWtuUDdTcktEYkNqNy0wQWZ2UWhjRnJmU2cxSWdMQ01GNkpQTjkybEZpdkg1QmhiaWlTRkFxR0RvclJzUEpLd1MzWlRNeVFxWnPSAbABQVVfeXFMT0EzRDZ3NGNlSkVHRXlCd0RjcjFWZ2tRNU1CSUhNaVhuOFZnVXpmbjMwNExHQzRoRUt4VUlkUFBLZ3NWNTFjNmdVZElSemRrTkdYSVpCVzAtamNQbUhuM3JRc1gzOFlNenVudzB6RmE3NjRIZnlUM1Z6bjFtTENBX3FKaU0yVE5ERTZKbnN4TDFldlg2TnJIem9Wa2p1QnRLZkVSVzI0Q1BXeWs5QXVrUDc?oc=5</t>
  </si>
  <si>
    <t>The sentiment is 'bullish' because the headline suggests that Kazakhstan's inability to cut oil production may lead to increased global supply, which could put downward pressure on crude oil prices, thus making the current prices more attractive to buyers.</t>
  </si>
  <si>
    <t>Oil prices fall as investors assess US court ruling on Trump tariffs - Reuters</t>
  </si>
  <si>
    <t>https://news.google.com/rss/articles/CBMinwFBVV95cUxPT1RFRWJsYmFzZWdTWjJJUlVjaXJuanRDT0ltSDh1aW1Wd3gzVThGaEpfRnpEdjVzX1BhTjZ3bjllOTJFVVpXN2dURDlzVEtfWGU0Z3VwRDAxOVg2b1N3aFJjclUxU2VLNllOTEVER2V5akJ4Qkw1ODlRV3lMLVViZFFTS3c4bVRFTUJzTHBDMWZ3dHdzWDA4b3BPR2hDQmM?oc=5</t>
  </si>
  <si>
    <t>The sentiment is 'bearish' because the headline suggests that oil prices are falling, which is a negative development for oil investors and producers, implying that the court ruling on Trump tariffs is seen as a negative factor for oil demand or supply.</t>
  </si>
  <si>
    <t>Saudi Arabia to Review Spending Priorities After Oil Price Slide - Crude Oil Prices Today | OilPrice.com</t>
  </si>
  <si>
    <t>https://news.google.com/rss/articles/CBMivAFBVV95cUxNa2wzTHBrUWhUMnhnTjZfaUdFRUhvRUtfZ2xzRXY5bmU4aVNyZ3hzN3pUeVFJLW9ZRTdHalViRm9vbDdfNl9qRjR2eE5qVzJJaFZEZXhGTmZBQ0J5NHg0eEMxOWJyb01HZDJUSVJMakgxd0xYdnBhTWxvUlVJUmpaZEVIelkxbGx5SEZpcUIyX3FQSHdyMGZBVHRrWFRVNDZIa0NSUmgyc0d3WTB1SV9pa1RGcmxtWjk1OUt3YdIBwgFBVV95cUxOaFJOWGY2eEIxMjdVMG1aRHMtX2kwcTFubEZiT2lMaV80cG9LSE1jVk01b0p4WE5tX0lCQmZ1a1h0UnNISjJPLW43NERjMTBpSTJjZWhnMGFnbGtlQ3Z0U0l6a0dTVUZ1cWE2Umxkd2tSckt3V09PTEduc1Y5M2dGMFBzNTZHVVpvSF9JWjFJQzBFRncweTV6V0prUHZUYXd0enk2c1NpRzBsMW10S1RScVVqWFNRbURqTWZfVDd5ZUxmdw?oc=5</t>
  </si>
  <si>
    <t>The sentiment is 'bearish' because the headline suggests that Saudi Arabia, a key oil producer, is being forced to reevaluate its spending priorities due to a decline in oil prices, implying a negative impact on the oil market and potentially leading to further downward pressure on prices.</t>
  </si>
  <si>
    <t>Kazakhstan minister says oil price above $70-$75/bbl likely suits all countries - Reuters</t>
  </si>
  <si>
    <t>https://news.google.com/rss/articles/CBMixwFBVV95cUxNamZtbVNFYUlhcUpkNFd1SnVzQ1EyeWVsU19YZDBIS1ZJc0ZlYmpKemZqZ25DblZVU1FMRTZhUldKTUZNQVowQzE0SFd4cnhFS25tZFd5dVp0UG4yOU5RYTZjQlBxdFluOFBQR3hrZmNQWVZQTFZRbVUwQWhvelBPb0RpQTh3OUtLOWZQTmlTam1hLVZ2RzZvMHFQOGxPNU5lSkUySTAyZ2IweEVfZUJWNy1oT3NHUFFsYkFmQU9mZDRVUmhEWllJ?oc=5</t>
  </si>
  <si>
    <t>The sentiment is 'bullish' because a minister's statement suggesting that an oil price above $70-$75/bbl is likely to suit all countries implies a favorable outlook for oil producers and a potential price floor, which could support higher oil prices and benefit oil exporters.</t>
  </si>
  <si>
    <t>Kazakhstan Says It Canâ€™t Cut Oil Output Despite OPEC+ Deal - Bloomberg.com</t>
  </si>
  <si>
    <t>https://news.google.com/rss/articles/CBMirAFBVV95cUxPU2xHQ1BZSncyVUVxSzFRT0ZkRzdjVmZ3MmdjeWp4cndFeVFFbmFlQ3RLejNfb25LX0NRbVM3SHFFbTMxeEh5S0VEam5OLTk0SFJoQVkwUE9YVjMzSlJRZ3NLbkdBVTM3MUVTeHozMFdRV2g1LVJJTk1McGhMV3lBeVlXT2VUV24xYXBLQ2VkaGR1N1dmT0FfZ0Q2alZkeU9jV2txLXZnN0lSa01O?oc=5</t>
  </si>
  <si>
    <t>The sentiment is 'bearish' because Kazakhstan's inability to cut oil output despite the OPEC+ deal suggests that the global oil supply may not decrease as much as anticipated, which could put downward pressure on oil prices.</t>
  </si>
  <si>
    <t>U.S. Crude Oil Stockpiles Fall More Than Expected - WSJ</t>
  </si>
  <si>
    <t>https://news.google.com/rss/articles/CBMingFBVV95cUxPdjBDQV9FUFN2YTUyb0R4Tng0LXFNd1NUVnphV2s4SjZXT0tOcGdzTmJZMUxVNEdFYXNsOWN0a3FBT1l6THl6RTc0TWlIU2NtbmswZ3BXY0E1aFVFVVdaSWFvTjF5UXNJMzdqVHgxYXQ3a05UVmU0bDYtN24zT1JHWUNwWGRTb0hEY1lCM0l5bTZrMUxVSzVZazRybXFRZw?oc=5</t>
  </si>
  <si>
    <t>The sentiment is 'bullish' because a drawdown in U.S. crude oil stockpiles implies stronger demand and/or reduced supply, which could lead to higher oil prices, supporting the bullish sentiment in the market.</t>
  </si>
  <si>
    <t>Trumpâ€™s Tariffs on China, Canada and the U.K.: Hereâ€™s Where Things Stand - WSJ</t>
  </si>
  <si>
    <t>https://news.google.com/rss/articles/CBMilAFBVV95cUxPSkMzdmhsWlpUOFBsSEtrUlQyalRzNWRjbHJoSlpJX19NZ0x4NXVzZDZacnJwb1I0RXRVWHlocXgwM1lkYkRFdlNxNlVsQXBTR09XczNoQ1J5bDVzcmRIT210U2xWdmJ6MG5EdG9GRWR2aEZLVmpXVHRKQ05QX1lwak9LeHN3ZFdYZEJ6M3RSemNSa1Az?oc=5</t>
  </si>
  <si>
    <t>The sentiment is 'bearish' because the imposition of tariffs by the Trump administration on major trading partners such as China, Canada, and the U.K. is likely to lead to retaliatory measures, resulting in a decrease in global trade volumes and subsequently impacting demand for oil, which could put downward pressure on oil prices.</t>
  </si>
  <si>
    <t>Oil Tankers Going Dark Off Malaysia as Iran Trade Draws Scrutiny - Bloomberg.com</t>
  </si>
  <si>
    <t>https://news.google.com/rss/articles/CBMitgFBVV95cUxOU3JNRmtEU01nVlRsSFJMc0h6WjFMSFlXdE5kUnh0XzhRaFVUVEVHSExGbjVCenJkd1RQQ0lJaTJmSWJzQ1BKdmhkZ0xWSElfRk00bFJaWVRBSExMYnh4SF90WXd4Vk96bXFTRFFHemw4SVlGQ2xSa0d6d0tkQ2JMR2VaQzA3MkVGcHU3NUlTdnlLQkFfY3ExbjJkNGh6OFRPdEY3aUdkZHM2enFHLVNtMVZlREk3QQ?oc=5</t>
  </si>
  <si>
    <t>The sentiment is 'bearish' because the headline implies that Iran's oil exports are being disrupted or hidden, which could lead to tighter global supply and potentially higher prices, adding uncertainty and volatility to the oil market.</t>
  </si>
  <si>
    <t>Oil Jumps After US Trade Court Blocks President Trumpâ€™s Tariffs - Bloomberg.com</t>
  </si>
  <si>
    <t>https://news.google.com/rss/articles/CBMingFBVV95cUxQT3drdmJPS2Y4YzRNeXpvOTA1d29CczB5Z19lNXMySUh4RHRnTS1zc01DdWVlSW1tVTF1SjA4Ni0yb2QzOVd6SjBDNV9HMWRtYVdtb0N4MDRsT05KdW5TclFBcXBYam13WXNBaFBfRUVGZlFtOFF1NkZRdkphU0RZOF9vWU13RGJMaEdYU09tUHBJTVJVN29vZ3pjcDh1UQ?oc=5</t>
  </si>
  <si>
    <t>The sentiment is 'bullish' because the blocking of President Trump's tariffs by the US trade court would likely reduce the trade tensions and uncertainty that have been weighing on the global economy, leading to increased demand for oil and higher prices.</t>
  </si>
  <si>
    <t>Refiners Expect Saudi Arabia to Cut Oil Price - Crude Oil Prices Today | OilPrice.com</t>
  </si>
  <si>
    <t>https://news.google.com/rss/articles/CBMiowFBVV95cUxOdXpNWjRsam1DeWJyR3lFR0FZREI5QmdMdjI5NmlMYWdfczFSQXpqMHNkeFZ0bXFpWDV3a1ZRbE1NSDF5WWh1Z2s4Slk1QnRRdmVuazRUR250cWVzYVlDNTk4V1NwYkc1NE5ONWRaeENZaUNldkhfMjR3a0JfNXBaMUZldVU0N0YxVkJJMk12ZVkyY18zNUUtSmJxSVR3bzI3bVU40gGoAUFVX3lxTE16Mm14SUdEVUc5YVhXRnVESFJqaXh4OHlDMmFHSnJqTHpEMDNwUVUtcHRtcEswX0tCNS1GcWhiWVRUSktQRnFSOFdMYzhvSUp0Z3l1SmFaUmtQR1dKc2E0QnJaYjlRUEw0cHE3dUpxMXVwR2E1S29RY2pxWV9ScFM0UDBYMG1xaDJkR3dSU0ZGT3dxVG16MGNoQy1aN0psNDRCSlVaTUs1Yw?oc=5</t>
  </si>
  <si>
    <t>The sentiment is 'bearish' because a potential cut in oil prices by Saudi Arabia, the world's largest oil exporter, implies a surplus of supply in the market, which would put downward pressure on crude oil prices.</t>
  </si>
  <si>
    <t>Record Refining Helps Saudi Oil Income amid Crude Price Decline - Crude Oil Prices Today | OilPrice.com</t>
  </si>
  <si>
    <t>https://news.google.com/rss/articles/CBMisAFBVV95cUxPYUtUR3RtY1RkWnNjbWVFZVBEalJZNmVQUnYyOTZIMTUtYVFkS1FVVnhtVUo5MUlxQXlaUG95aGJ2ZXFHSUY4Y2tOemViUjhvUEl3MncxTTZLOEptNGZ4eTVaZXZWTjV0dHk5MnZsdHhrdk1iWDlBazNwamJBWWEyeDdQSUJzajNJUDV4dkpYcHVOcW1Ob2xlZEp3em5IYUNadDJNcGVNSW1RSjZyZ2RIaNIBtgFBVV95cUxNTEJUak5IYVI4T1Y0b1ZyQmoyWWYyRXNZNG9GWmUtV25qbFVtYnRZLUp5elhHbG56NjJUb0tRNkRkZ21hRGstUVNhN0EtNGV1UEU2SXJmVFRFQkZsNnNuNWpaVlFmNWtlNlhzcERkMUFLWXRKTHZFWWx1Y0tIN1lKQWZybjFReWl1dnRPZWlJc0VoaXFIaVVXVTEySFd0Q1ViajhkYmFIeWtWcEY3VmJFUFk0R0tLUQ?oc=5</t>
  </si>
  <si>
    <t>The sentiment is not 'unrelated' because the headline is actually discussing the impact of crude oil prices on Saudi oil income, which is a direct relationship, suggesting a more suitable sentiment would be 'neutral' or 'positive' depending on the context of the article.</t>
  </si>
  <si>
    <t>OPEC to Begin Discussing 2027 Production Baselines This Week - Crude Oil Prices Today | OilPrice.com</t>
  </si>
  <si>
    <t>https://news.google.com/rss/articles/CBMirAFBVV95cUxQZFQzenduLU5RNklOYnJUSTNVNF9Qdm1uai1uVUJSVlBiQTRWaGFXTE81amkyS1AxOGRzbzk1RXhqb2hJNjV2a1VvMEtWZ3duR0NNQUdkTkxUbzlrU3ZMdGVpWDJxMWlNbjh1aHBXMFB2Y3gxUTlJRjZEZldNMDZ6Q2hXTWI5NkU0dVZ2OEQyRFpXclRjdXR2dHd3dmh0a3A1Qm9XQjVtME41X0N00gGyAUFVX3lxTE1feU9vTDFJZktWcVVET0pCM2gta1BlU25jTTFJSkVLTVpsYmdPakhVSFd3WTR3ekNjZVF3TGRIendIcUV4MmFLcmxaVl85bV81LV9sSUV3YmVSMjFSTjFSZGluMU4yZWZDczFYVDJ3aTQydnoxekVOX1pmeUtOY3hWdkJDUHFXWXR5NEpSZ1dsWmNiNXJFeFN4N3BPTUs0LVFhdEVmaFJmcWtnOThOYnNtOFE?oc=5</t>
  </si>
  <si>
    <t>The sentiment is 'bullish' because OPEC's discussion on 2027 production baselines implies a potential for output adjustments, which may lead to tighter supply and consequently support higher crude oil prices.</t>
  </si>
  <si>
    <t>Oil Bulls Cheer A US Inventories See Surprise Draw - Crude Oil Prices Today | OilPrice.com</t>
  </si>
  <si>
    <t>https://news.google.com/rss/articles/CBMiqgFBVV95cUxPMmFQc0J6blpLQ0FhNmJxRE1uUUpiU1diWTBIYUpSajZib0dKVzludnZ6aVJkSHhLTXhYT21UMFRXZ0hKTDYzNkFuUmFRQ2tibEU1VjFxT2xhMnhlaE1TX2JYajN2Q2ZGT3d1czkwbXFyaVE4YlI3VlFFUDdERTAyZ1B1RDk4dy1wX2dNMWtla1BIUzZpSmhRUTFlZHJiQWRqbFl4WmxMZTdBQdIBrwFBVV95cUxQSm03d0x2cTU5N1ZHb3JQaVgyNkFhTHFxdW5DczFuSlZkT2xOcWh6TlZPNVk3RFVyd1hxbTA4Z0VKT0djTExNZl9helYzRGoyQTNCZWROYktyXzVHN2hXd044ckpYTXNkQ3plWmVnVHNvSzVOY2QwTnFuMEVaNnRXYVVQREdPV1VCem9yZnk3LTBScF9LMzN3OUowM3lsZ0sxMHZmNXpfV0ZmUkhKbTdN?oc=5</t>
  </si>
  <si>
    <t>The sentiment is 'bullish' because a surprise draw in US oil inventories is a fundamental indicator of tightening supply and increasing demand, which tends to support higher crude oil prices.</t>
  </si>
  <si>
    <t>Oil gains on supply concerns, investors await July OPEC+ output decision - Reuters</t>
  </si>
  <si>
    <t>https://news.google.com/rss/articles/CBMiswFBVV95cUxQRUQwWWxnbVI3RHVMYW0zenJ2VFI0LVdJYVNlekEzZHgydnlieEZyNm1vOHBSU3g2QUVWMlJPWlFPZldSWmFPZ2wtZ29nYUZNUUpUaXpDWkVUZS01T2EwLWlMR2FBaVdUb1d6TDF1YUM2UEJuUWVTeTVtLXR6NXg5YUZnSjJWS2NIaFFuU0dFT2Fqa0w3d1FyY2dvQXg1dEJzVGQxZWtfdkxYbUp1UmlYU1Z5VQ?oc=5</t>
  </si>
  <si>
    <t>The sentiment is 'bullish' because the headline suggests that oil prices are rising due to supply concerns, implying a potential tightening of the market, which is a positive development for oil prices.</t>
  </si>
  <si>
    <t>Oil Steadies as Traders Weigh Supply Outlook, Russia Sanctions - Bloomberg.com</t>
  </si>
  <si>
    <t>https://news.google.com/rss/articles/CBMingFBVV95cUxONzk5X3Z6amM1NkY4aVB5dlJLQ0lXYW81MUh1amd3TlZHYTRwRXhQRE12TUVyUHF0RTV6clVtd3ZEdl85Q05HWVNHUC02Yzc4al9jeU5PQ1huQ2V6QVJ0c1M2TkJVRnlNMDRVaEtRTldRQmhubWlBN2dkMVRqOUhyUHdTTERHN0JkQzdja2RTY1FmNjlrWjdkeVZOZnloQQ?oc=5</t>
  </si>
  <si>
    <t>The sentiment is 'unrelated' because the headline is providing a neutral, factual report on the current state of the oil market, without expressing a positive, negative, or emotional tone, making it unrelated to any sentiment bias.</t>
  </si>
  <si>
    <t>Libya's eastern-based government says it may announce force majeure on oil fields, ports - Reuters</t>
  </si>
  <si>
    <t>https://news.google.com/rss/articles/CBMiyAFBVV95cUxPZjdSckNrMDlHTzZUaGJSQThxTFBUbFdLMUxUNW1xbFhPTmoxVFhwc3E2bUJmMk4wMlVSbkQ1M1NickZoUlV0UU1yWHRpSDUxQzlqZE95UDhrQjNQTVplWGNlbkdMODYtSHA1MTN4ZGdNbEhTbzYxcWdUUzVpREJxaUwtTkZ0N2NGMFVpT2hkaEp5ZExGYkx3THB2VElsVl9sU3NxRTZKQUVuYWxDODBySUlGVWxCc2xTWDNLZlktVERfajNYVEhyeg?oc=5</t>
  </si>
  <si>
    <t>The sentiment is 'bearish' because a potential force majeure on oil fields and ports in Libya, a major oil producer, could lead to a supply disruption and tighten the global oil market, thereby driving prices up and impacting oil market stability.</t>
  </si>
  <si>
    <t>OPEC must squeeze US shale much more to win oil price war - Reuters</t>
  </si>
  <si>
    <t>https://news.google.com/rss/articles/CBMiuAFBVV95cUxNc29WSWY2d0VlQnJaZWN1S3JwNE85enhFbmM4R2Z0M0VDNUlNbGJYaV9QQ2RWcGR6QzFRUUY0eXZKdk9rYU44bjJ4WUREMmpveGJmYzd3ZC11elAtWWNhNEZ6UkNqUVFRNVZKeXpPZlEyckRHQVI4aHl0bWdYb1N2YTl5TExyaXJBZU81bmRDbDZPUzc1RTFBYkdqVnVsT3BQVmxRaXVCLWVva2haMEJzSVQ1cUNBUHBM?oc=5</t>
  </si>
  <si>
    <t>The sentiment is not 'bullish' because the headline suggests that OPEC needs to take further action to negatively impact US shale producers, implying that the current oil price is not favorable to OPEC, which is typically a bearish scenario for oil prices.</t>
  </si>
  <si>
    <t>Russia Hints at Changing Oil Price Level in Its Budget Rule - Crude Oil Prices Today | OilPrice.com</t>
  </si>
  <si>
    <t>https://news.google.com/rss/articles/CBMitgFBVV95cUxOckJ1NG0xQzdwUE9xMTFUSWx2MHRuczE1bnVDZ0gwX0M1cndkenhERVBIMjEybDVxVTRhREo5NU1vemhoODRsSVZlUTZHRzdmMlQ2UU5tSVBPdXMyUVVZZFRaN1IzcUgxTGEtektFbHNIYzctUl9xMHNMOWc2czlXSElzc0Y3Rm5sQ2VFYlZWN2RCeFo2OHltUlZ3RnB2eERWZzR3blkyMV9hQW0wS2FYdnJWc0dUUdIBuwFBVV95cUxNcDJ0eXlYd0hJR2JZZ2RHblpPOHpOVVhkYzd4RV9lcjNEOUVueWFvTzE4QlN5NjJkT0lYbUJWZm1sZkVDaGlrUV9LSnprWHlZWjR0b1hMV2hZNHlkb3RMZ29vdkM3WmhDSkw1Rkw4eWpBRVZxeWU2S05waXRnTHdDYTNPX3dBb2E1NFYzakVMTHpTZGxvbVI2RVFXZHVobDBfNE9oYlZ0amQ4cUdicFlOZTBCZ0NRVG5VYUZF?oc=5</t>
  </si>
  <si>
    <t>The sentiment is 'bullish' because Russia's consideration of changing its budget rule's oil price level suggests that the country is prepared to adapt to higher prices, implying a potential long-term increase in oil prices, which would benefit oil producers and investors.</t>
  </si>
  <si>
    <t>Russia's Crude Oil Export Revenues Hit Two-Year Low as Prices Dip - Crude Oil Prices Today | OilPrice.com</t>
  </si>
  <si>
    <t>https://news.google.com/rss/articles/CBMivAFBVV95cUxOV2NkekhwWkUyOUtOVU1vS2ZxRC05ODBld1phRkRmaVlmdW80Mkw1MzRtVXBnN0VGX2ZJMl82MThGUlZ6V2lMenE2ckhWTndESGFtVHlYNnZwdmFnOEt3TTdKejlVOVkyRkQzMGVDOTNqVTZES1lRU3NDdkpfS3c0SGRxcGpqR0gyNWJFS0gtRzdPREtubTgtYTZaYXFSVkR4UUg3Qm5ZRUFiWUt4WVdqSi1nRlNjQ3R5YmptR9IBwgFBVV95cUxNVFp5U3BjUFo2cFlWT0d4R3liREItQlE3YzFPTEtTb29SOHp1U3RmMzQxUWZLTkZKQmVfX1IxLUZCY2FWZWxCWDB6Zk9XTkwzOVl6S1NMcDZDMldJZ19tMUF6S1RsM2lTOHdUUW5KTkVjdlB5c1p4aE5wYWxIUTh2QXR2OXlWcXRCNVlZbWh2RDNaMXJvb0NaaDMxbzJpQWtxR2pDMGFHaVVHNzRpTHZVc29fQ3hsVTNPcjRsRlRjNldQQQ?oc=5</t>
  </si>
  <si>
    <t>The sentiment is 'bearish' because the headline explicitly states that Russia's crude oil export revenues have hit a two-year low, implying a decline in oil prices, which typically has a negative impact on oil producers and the oil industry as a whole.</t>
  </si>
  <si>
    <t>Falling Russian Oil Prices Drive Exportsâ€™ Value to Two-Year Low - Bloomberg.com</t>
  </si>
  <si>
    <t>https://news.google.com/rss/articles/CBMiuwFBVV95cUxPY0FhOTRpVmhmV1ZkUk8zalhMMWtnd1Y1ODBPSE9wYUZDNzdQUnpOQUJsYlRXWVNmV0ZwSnJSdDBWcnl6VmxBRVU1bUs2OUp4VHNISlNNakxJam5WSEVZekg5QkJuNURNc1kzbko3YkxRR1huUDMxM2E0WEdWMWluakN3Y0g1T3lKVVJjeEk2cVpQbW0xNmN0ZTZpMnRQNFpwbVBnbW93aEV2UU1wRlBDalktd3JQQnAtMklj?oc=5</t>
  </si>
  <si>
    <t>The sentiment is 'bearish' because falling oil prices typically indicate a surplus of supply in the market, which can lead to reduced revenue for oil-producing nations like Russia and potentially impact their economies negatively.</t>
  </si>
  <si>
    <t>OPEC+ must be mindful of rising oil demand, UAE energy minister says - Reuters</t>
  </si>
  <si>
    <t>https://news.google.com/rss/articles/CBMitgFBVV95cUxNcy1td01rRDZKWmhuWTM5cEVFX19hTUh1ZFEzOEVZN1gwWUxQM1Zna1BiQWdYREVSaUtHdWVHcEF1ZEJidGc3c3V0Wkg5ZzJNYV83Vko0Z0xrX1hVMjRpRjJyOVZ0YndZNUpzZU5VOHFwRUp1aVg3NHljaTc2UzhZWGx3Y1ZLZVRYZUdNU3lFa2c2dW90cVVQMV9FVzBManRBN190akNNUU93c3Q0eUhtOVk4eldPdw?oc=5</t>
  </si>
  <si>
    <t>The sentiment is 'bullish' because the UAE energy minister's statement suggests that OPEC+ needs to be prepared to increase production to meet growing demand, implying a positive outlook on oil market fundamentals and potentially higher prices.</t>
  </si>
  <si>
    <t>Oil prices ease as US-Iran talks, OPEC+ plans spur supply concerns - Reuters</t>
  </si>
  <si>
    <t>https://news.google.com/rss/articles/CBMiogFBVV95cUxQbzllUzlNdlN6TGdYdDRuLTFoTHFVN0E4Y0NqdzN5NWhUQ09ZbVZGckJGSnZRaTJ6bGg2X1UzaHNvajZCRU9oQ1Q4dkxvSmpDem9iYVRDUEpNRXNZbVpLbFh6SHpMYmhWb3BmZm16dzQwcWFQZEQ4Q01NeUFyZnZ5eVFYSWw3QmxMOWc4RDh3VHBEaGViZF92RTdNcVE2Rk1uMXc?oc=5</t>
  </si>
  <si>
    <t>The sentiment is 'bearish' because the mention of US-Iran talks and OPEC+ plans implies potential increases in oil supply, which could lead to downward pressure on prices.</t>
  </si>
  <si>
    <t>Saudi Arabia may drop July oil prices to Asia to 6-month lows after OPEC+ boosts supply - Reuters</t>
  </si>
  <si>
    <t>https://news.google.com/rss/articles/CBMi0gFBVV95cUxOdFZjcm44aUpHVkhsV1dtT1puU1VIdlFSTXBFamhjaWhvakZ5RVBLYlRYbF9IMlRiTDZxMTZPQVVyU0RlWXYtQW53aVpvUFVnYlVQa0NhVm1RcDd2V1o3ZndISHZZZ0txTS1LaVVjTDhqLUhWNUJQRkJwVTgyeTlRV3hXaEwyYUo4cnVTYXBaZGI2ckEwMzBKQU1LM2RpYzNjelF0c1ppUzNqdC13bl9zdlpHdU5xcUl1cXAxOTNMbGdWTHNyTkJJanJRc1FsUEUyRGc?oc=5</t>
  </si>
  <si>
    <t>The sentiment is 'bearish' because a potential decrease in oil prices to 6-month lows in Asia would indicate a surplus of supply in the market, which could put downward pressure on oil prices, benefiting consumers but negatively impacting oil producers and their economies.</t>
  </si>
  <si>
    <t>Oil Prices Under Pressure From the Prospect of Another OPEC Hike - Crude Oil Prices Today | OilPrice.com</t>
  </si>
  <si>
    <t>https://news.google.com/rss/articles/CBMivAFBVV95cUxPT0xwSVM4RkJZUW5CMFV4Z0w5M3dGOFM4Xy1CS2ZyVzhCSDF5Z0xVTkpodHhXV0lRenBjaDU2Mjg0aGYxWXhIX2o1blBiNDlmdDFDZ1FFU05pRkhPOTY0Uy05M0tnOWZuM3BmX3AxMFJGaUJhNzgtaVdRQW5ib09WNm9xVXFRYlFmcXAyOGxDZUtKRmtUTmphdkpkSHEtUDhxTm9iNFdLRFVmZEduZDNCVmo5dzlqMmZqRHJ1ZNIBwgFBVV95cUxPaVBQUHJoaTJRY05lOTFIWUJIcEtVMDkwd0ZrVjN0M1FnSG9jVnpjckl0VGVxN29JRnBiaW00b3pURzI0SlZQb0pCc1NjdDFOTWFhczFfS3BJaVEzT3NpSWdweUVDUG4zbk9aOWpQT2owTE9abjFaOFJjX1BLR0lVVkVRWXFIRUJ3TFdJM3d1cXhzbzFBUUZiSExJMk5mNV90ZTdOOWpwSWZ1QTI3aG8zZGw5NXZURDJuR09nUm5mNWdXZw?oc=5</t>
  </si>
  <si>
    <t>The sentiment is 'bearish' because the prospect of another OPEC hike suggests an increase in oil supply, which would put downward pressure on prices, thereby supporting a bearish outlook in the oil market.</t>
  </si>
  <si>
    <t>US-Sanctioned Tankers Seen in Russia-to-India Crude Oil Trade - Bloomberg.com</t>
  </si>
  <si>
    <t>https://news.google.com/rss/articles/CBMisgFBVV95cUxNcjB5bnplWkY1SzFXT0szci1kWlJZWklFZ01Sa0ZZRk9INEdsVjBQVG0xS21tU2M5ZEY0Z25fWGhUZkNqZzVSX2s3SU45dDAzU2NZM2JVemNNVEYxbTM4dUZuRHAyZ1pncG1qVzh2MmQ3UkFBYUlIdkhPc1VTdGlCWGRVUTF3TWlIbl91bXp1VTIySGVsMi1UbENocmNJZDh3bzhBanlubzVSUGN0Q3gwcnVR?oc=5</t>
  </si>
  <si>
    <t>The sentiment is 'bullish' because the increased participation of US-sanctioned tankers in the Russia-to-India crude oil trade suggests that the global oil supply chain is adapting to the sanctions, potentially leading to increased oil exports and a more stable market.</t>
  </si>
  <si>
    <t>OPEC+ set to agree July oil output hike this week, sources say - Reuters</t>
  </si>
  <si>
    <t>https://news.google.com/rss/articles/CBMirgFBVV95cUxNS1ZLdlN6MWU3Z2lacnlRLVVwVGpRNjBFbUNsakdGX1llMUJQLVVsTFpUNWptQVVSMjAzUkhmSmJremE5Y0hNUjhvcV8wTW40UkMyZ3pwaGR6Vkp2dURVeDUya1pzaWNmOFU2RWVOZ0VjLW0yYkJiMUkwWnVwRFBXMXotcDdIX0dVOFdWN1BVWXRTZi03M3BQVzhjWnI0cUozT0JIRm9RWWptMnRsSGc?oc=5</t>
  </si>
  <si>
    <t>The sentiment is 'bearish' because an increase in oil output by OPEC+ would lead to a surge in global supply, potentially putting downward pressure on oil prices, which could negatively impact oil producers and bulls in the market.</t>
  </si>
  <si>
    <t>UAE Says OPEC Must Consider Rising Oil Demand - Crude Oil Prices Today | OilPrice.com</t>
  </si>
  <si>
    <t>https://news.google.com/rss/articles/CBMiowFBVV95cUxPeWR0RGViajJDWTk5bVdrUE1DQ1A4R0VabmJnZUdlSUh4VUpQbndkM091eUNob3IxX21PRThLTl9XRmFCNHdQWlNsSUY2UnFBNTU2SHJUcDdvcmxPVl9SWEZqYm9fQjYybVYxeWR0RnQ3elp5czZLei00enFIU1h1RzJITkJsWHZzLVlSQW5IVHk0b0s2MmVOSWFiV1I1OEtRUWNv0gGoAUFVX3lxTE1nbGdJTlNfMFFDeEdJNHJWZHA2bzFGQy1lRkt2dVFlM1NnYnVKVmE3ckNmaU9TSThHQzh0eHV1ZWthYWs3eGZwVmYtMjFHLXptUEVPTXUwRFB3dl8xN1FUYjRqZGJSWWNxQ2M4blJCNjBQa1Z4aVpNVEg2SDI5cGY1YWJnRkVvZVQtb3dqbmZpemNtQ0ZrTkFzRnlUZjRHT0M3dXFKbTNiNA?oc=5</t>
  </si>
  <si>
    <t>The sentiment is 'bullish' because the headline suggests that OPEC, a major oil-producing cartel, is being encouraged to increase production to meet rising demand, which could lead to higher oil prices.</t>
  </si>
  <si>
    <t>Saudi's refining boom helps it weather oil price war - Reuters</t>
  </si>
  <si>
    <t>https://news.google.com/rss/articles/CBMitAFBVV95cUxQTWNfcFNfb2xYdnM0UnpDM1dkZDVHdGNsSmdRcHhveXF3VXVSWUh0NDY0SGZITDZGdUp1TG42TFc4QTZYanh6QlFyRnlzeG9BQ3BjaldzaGF5YkpNVU9NTTdULWVhbW1vRUpaU3VGUF9LYXhLdWtSMHl0MzNMd19IOG9UbXVYMVV0b21GbW94anRGdUxYT3p4TXIwZ0ZEU2R2bDBmbnRSU3Q1cDFyRGNXZWl4ZnA?oc=5</t>
  </si>
  <si>
    <t>The sentiment is 'bullish' because the article suggests that Saudi Arabia's refining capabilities are helping the country to mitigate the negative impacts of the oil price war, implying a degree of resilience and adaptability in the face of challenging market conditions.</t>
  </si>
  <si>
    <t>Elon Musk Says Oil Is "Small-Time" - Crude Oil Prices Today | OilPrice.com</t>
  </si>
  <si>
    <t>https://news.google.com/rss/articles/CBMikgFBVV95cUxOSUtuRGlxWVJKQlJ1OERxYmlqV0lxdEtiMWxDUGM5b0VyNWpsak9ydVAzRXRiREltUGdGSkkzQ0MwNFZHbXVoZERfeS1IZmhXcWtobmVOX2paVm5BRDVvSFB1S1I2RURDZmo0UW5vTDduRnQ4M2VRR3hRY0RBQ29wUWRsVDJkU3dKV0hFaUpXNnVBUdIBlwFBVV95cUxQYk5nejFIUkZ0bHhndjR3eUJRYmVDcW5TM2FWM21mX0MtWDBlRWFURFpDc2RtcHRsMmxVNTZNWndRY1BacWtVOVhKdjJIRTVvT3ZpYXVuUXl3N1RKejkxS084Z2VjRG5MTzNNUGVXYi1CR3ItZ1lZd1JJRk9GUWpheDEtbHhteTNBZUJOLTdYTkxMNlFrU0hj?oc=5</t>
  </si>
  <si>
    <t>The sentiment is 'bearish' because Elon Musk's statement that oil is "small-time" implies a lack of faith in the long-term viability and dominance of the oil industry, which could lead to a decrease in crude oil prices and investor confidence.</t>
  </si>
  <si>
    <t>Oil Steadies as Traders Focus on EU Trade Talks, OPEC+ Meeting - Bloomberg.com</t>
  </si>
  <si>
    <t>https://news.google.com/rss/articles/CBMingFBVV95cUxPX284Rm53R2xnbVBwcEFJTWQ5S2FPTWRKdExVVjBwOWQ1d09WNkczYUJyaF9GOTVxeTg2YmNPN0dmcFBwZ1ZxZTFKcWIxNGpWUE42X2xES1hIaS1pdEdabUJVclNOM3NfRnhkWVZtUFVMMHNyeHkzZldqZm9nVDJQeXY0V0xVeUtELUdRamt5dG0teEduYlFQXzh6Yk1BUQ?oc=5</t>
  </si>
  <si>
    <t>The sentiment is 'unrelated' because the headline is simply reporting on the current market situation and upcoming events that may impact oil prices, without expressing a positive, negative, or neutral opinion about the development.</t>
  </si>
  <si>
    <t>Rig Count Tanks, Oil SlumpsOPEC Says 'Full Speed Ahead' - Crude Oil Prices Today | OilPrice.com</t>
  </si>
  <si>
    <t>https://news.google.com/rss/articles/CBMirAFBVV95cUxNbzFwOHo3ekJWZG5CT1Npc0FCT1BLM0pFZzl2MjBONUNCYnNfVkZmUFJfME1ZRDl0VG12UEUtOFl4WkpQMjZTVTM1b0pCRm1IMGI0QmxsVmc3cnAxY21mcWtXQk9oSG56dlFZakxRYzFwTmg5ZENwd09NYVZuOXdHbU5XTUtBQ29waEJCX2ZOcnBXNzdDeWk0WFV0MmNjTV9KM3pDa1hmM1FBR0Ji0gGyAUFVX3lxTFBVQmRKRXU5cXROaVR3Zk90NTB1V0pDOG1OWlhpRUhhQWhkVkZDZnJsNGhiZTVVUW9GNlRsNDgtVHd2UzZEa1ZFYTNBM1VZOWJqNWcxbi1JWmlxRG5Vc0hncXZKcDVDU3dHVkkzWTRqQk16eXhnQUhIZG0yTzJodWZ5VVlXdDdBMll1NmQzX1NxZlZiRHBRakQxQlYyb21WZ0picFBSOUY1TERfbDFRbWptYVE?oc=5</t>
  </si>
  <si>
    <t>The sentiment is 'bearish' because the headline highlights a decline in rig count and oil prices, which are both indicators of a weakening demand for oil, and the tone of OPEC's statement "Full Speed Ahead" might be interpreted as defiance in the face of declining prices, rather than a reassuring sign of market stability.</t>
  </si>
  <si>
    <t>The Permian Is Not Done Yet - Crude Oil Prices Today | OilPrice.com</t>
  </si>
  <si>
    <t>https://news.google.com/rss/articles/CBMigAFBVV95cUxPb3R6UERhSVd4SzViZ2c0QmJieVhsN0lSRE5mc1BwYXVrY3V3SmFMZ0hkVzBvYlEwVTB6bU1BQlJVVnFRLUhMdDJSYlRpTUcxQWJuU293OXB6cnhjSndGcC1kOW1yQXVHVkt3UEVmRDNkMGstTzlrc1lLWlNuSFBSQdIBhgFBVV95cUxOdVRaYkxKR05VamtwcXE1eFM3Q1VuUE5IX3hvQVFLcXZsT0dmLUxlekFKVkdqZF9uT0FhcDQ2WnlaRloxNllTWDlCektUb2JLUURTYk1lMV95dUZpSXN0RnZWNUJ6Y1NIM1V6V1NUZmRuVHhlUXhFZEZZeTQ4b2wtVnhyMS1hdw?oc=5</t>
  </si>
  <si>
    <t>The sentiment is 'bullish' because the headline suggests that the Permian Basin, a major oil-producing region, still has upside potential, which could lead to increased oil production and potentially higher prices, contrary to expectations of a decline.</t>
  </si>
  <si>
    <t>Oil Pushes Higher as Trump Extends Tariff Deadline on EU Goods - Bloomberg.com</t>
  </si>
  <si>
    <t>https://news.google.com/rss/articles/CBMingFBVV95cUxOZlVQei1DaTFKSmFVdE1fMkNtMHBPS1RGczMydkZyVjh6THVxdGExTjJtTGtWN0NQZ24zbE1NdEdoVWNLR1Z1SWFYNGp4TDNLdVY5UXRHcmtyVkVOOC1lbThDczhzQkk1R29BTjFJZXF5X2ZOaGl6TFJQY01USXVjcGpZS0VyeHB4Yll0Mndoc2lSSnpFYVZVSDlrM0dRdw?oc=5</t>
  </si>
  <si>
    <t>The sentiment is 'bullish' because the extension of the tariff deadline on EU goods by Trump reduces the likelihood of immediate trade disruptions, which could boost economic growth, increase oil demand, and thus support higher oil prices.</t>
  </si>
  <si>
    <t>Oil holds steady; market awaits clarity on OPEC+ next move - Reuters</t>
  </si>
  <si>
    <t>https://news.google.com/rss/articles/CBMisAFBVV95cUxOek5zUkpRZnozNnZZZXRXMHFfX1NIXzhvQzhkSW9mTnh5WmdyaDlpREJxYzZhMEFqUlI4NUVtTjE2Wmp4MU9RVlFVV01FZkFnZUhQMXJJWEJHZUdvYkVNRHFMTDhDMlo3aVVqclRqa0tOUngzcG9tYU9CeC1fWjhxRllZMDNaaGtwUlJHSU5wMlhObGd3QzJsLW5lSVZMR1JYRUhsbXUteHNIYUIzZUY1cg?oc=5</t>
  </si>
  <si>
    <t>The sentiment is 'unrelated' because the headline is simply reporting on the current state of the oil market and awaiting a decision from OPEC+, without expressing a clear opinion, emotion, or bias, making it a neutral and factual report rather than a sentimental one.</t>
  </si>
  <si>
    <t>Indonesia's State Oil Firm Considers Importing U.S. Fuel - Crude Oil Prices Today | OilPrice.com</t>
  </si>
  <si>
    <t>https://news.google.com/rss/articles/CBMirgFBVV95cUxPaV93cmE1UEY5ODdtNzY2NDhWUE1JU294a1NhbWViYzJ4bW1wU1FiWThJRDNUTTVtQ2dOZm1Ddi1waE9ReDNQNmJfQVJaM1NNbmVMdUoyM083VE9jYnpEUFlGRHFmTnpFTmZpT1B5RlA4N0JlZHptOFdrN3d1SWcxcnFEbnNYZVh1dUQ3MVRuc2RnUTRsT2s2a3BHbU5xajFSX3BiZTRmMU91SU02UEHSAbMBQVVfeXFMUDItbDRraDNXM0lZLURkZGUzaTdSZzJmbC03QlBpakJielVXa05WS3djQTVJSm5zWmNvdTI1WUpsMmV0Z3lwVnl1SDN5RzBNRUxYNER6cV9aUXktTW5DcU5kWkNRam01am1wbDVWcktIMFNlX3Q2ejRCc0NjOVNRQkJCNTkwT1huX08yamxDUE1EdnBIS0l4MlZoWURYN2tOckNEY1drWW9rX3k5dmNOdTBxMk0?oc=5</t>
  </si>
  <si>
    <t>The sentiment is 'bearish' because the consideration of importing U.S. fuel by Indonesia's state oil firm suggests that the country may be seeking alternative sources to meet domestic demand, potentially alleviating pressure on global crude oil prices.</t>
  </si>
  <si>
    <t>The Oil Market Has a Bigger Problem Than a Slowing China â€“ India - Bloomberg.com</t>
  </si>
  <si>
    <t>https://news.google.com/rss/articles/CBMitwFBVV95cUxOaC16V3FLSkw4bjFGQi0yMkNFZkVNTzJyZjlnNnNrdmRaRlJIYnlkdUZJSFhkcHktSDBQd2s4eFNLVnVJelF4M3dwZUE5MWV4R2VqUTRGU25ZMndmWUZiOUFBQzBoWXNmVm83YVp5VUkyTXVubWp0d3RCMExJZFV6dzJ3SG1obENpNjhaLTYzNFkyRi1ZSml4Z1E3MkY1YkxaMWN5UmZIMmJJelVKRmNSdW04ZU9aR0U?oc=5</t>
  </si>
  <si>
    <t>The sentiment is 'bearish' because the headline suggests that the oil market is facing a potentially more severe issue in India, implying that the current concerns about slowing demand in China may be overshadowed by an even larger problem, which could lead to further downward pressure on oil prices.</t>
  </si>
  <si>
    <t>Oil Prices Rise as Trump Extends EU Tariff Deadline - Crude Oil Prices Today | OilPrice.com</t>
  </si>
  <si>
    <t>https://news.google.com/rss/articles/CBMimwFBVV95cUxQY1lCQWpvbHo1NTVOMENlQ1AzcVdUODVuYTFMWkRxbGZ6eFRzUEVqdXBud1R3Q2tCaGFoV2J5aU9mbHhDWmZ1NVlJenVoaHFQSlhJMEsycENUb3NJUlRhNlFKYlprLWxUa2tGVjlKUjh3Zk5nNEFiREZOTHB4MkVHUmNnVWktRTNhYWNtcWZZREhoNlpwUC0yUVlwWdIBoAFBVV95cUxOZ3ltS0lEMWtoRTktek5LbS1hSkg3a3EzQTJkSDBDZXdDWGJVd3VMZ0gzanNsWWVLcVc0RlQ1NXh6YTVfQ1lIMXZQMmc3OWFLd0NaY01jT3pSWkwtaHdzY1E1UlRxM1BlZmFTNmRhOGVKZkp1aG9qR0tXVTkxUUdTZkt4TlVIS3dfRm9YT3l6bndJQzNXczlkWU5uaWp0MVVF?oc=5</t>
  </si>
  <si>
    <t>The sentiment is 'bullish' because the extension of the EU tariff deadline by Trump reduces the likelihood of a trade war, which would have led to a decrease in global demand and subsequently lower oil prices, thereby supporting current price levels and even prompting a rise.</t>
  </si>
  <si>
    <t>Oilâ€™s Plunge, Trade Wars Drive Drilling Land Sales Down in Western Canada - Bloomberg.com</t>
  </si>
  <si>
    <t>https://news.google.com/rss/articles/CBMiugFBVV95cUxNOGhZb3BvWjdCajZSVU9FYjl4QXlNeXk4MEN2clhaUFhkTzZWSFRtcDVFT1VYcVRtM1VoaEdMRjREZ0RYYnJqSGgyczh2QUpaM01UdTh4NUltczJhcmFGNDJUQlloNEUwdTAzdkZJTFVJay1NN1JVWWphd19aY1BKX0VEUFJLTi1JaFFTQVEtdFRVblFYMkJnSS12bE5kVzc1cktrV2VKbWZ3VWpuMjZNR2xIZ0l2SHA2RUE?oc=5</t>
  </si>
  <si>
    <t>The sentiment is 'bearish' because the decline in drilling land sales in Western Canada implies a decrease in investment and activity in the region's oil industry, which is likely to negatively impact oil production and prices in the short term.</t>
  </si>
  <si>
    <t>Kazakhstan Expects to Top Its Oil Output Plan in Defiance of OPEC - Crude Oil Prices Today | OilPrice.com</t>
  </si>
  <si>
    <t>https://news.google.com/rss/articles/CBMiswFBVV95cUxPVnJ5emJqelNWNGJyN2xRSWJodU0wTURobjQtVzFHT2VZU3dFVEpNeGNYSnRHQkFzbVZyNTRGYmdpRmhHekpXMnJZNENJU1dHblZoN2Rxd2pTRE1Mdjg4bVdtTlVwM3p1T28tcVlIUTJ1LXhpYmpoRTJkM1V2Y3kwQ1pqeExKM0k2R1AtdXFRTEd4NmVyZGQ4MkNPOGtXUV94bHdsYVJiVU9ZazBfMUVZVE5zSdIBuAFBVV95cUxQMGw2dzAzTG11VS10SVg4d1VUNFNMdmRNbGxjdDZnRk9oMVNTNEk2eHZfOHlVc25zWk9HRkNTQVNiay01RjZQeTJYb0pNbC1BLWZyUlktTG5ZdHgtMnpWYXRBbC04TFMxMUxCbVVneEtYM1cyNDc1T3lBQ25DTDVXWldaOXJlNEwwdEdGZkZyTGR1QUxuYkM5a1pUa3ozWWlzXzVQZkRLWkNsVHoxalB0M21CSTVpbE5p?oc=5</t>
  </si>
  <si>
    <t>The sentiment is 'bearish' because Kazakhstan's expected increase in oil output, in defiance of OPEC's production cuts, could lead to an oversupplied market, putting downward pressure on crude oil prices.</t>
  </si>
  <si>
    <t>Carneyâ€™s Energy Chief Pushes Oil Sands to Build Carbon-Capture Systems - Bloomberg.com</t>
  </si>
  <si>
    <t>https://news.google.com/rss/articles/CBMiswFBVV95cUxOdEEyNDljaFAxRGlrZ2NwdUwwclc2LXJickVieHk0R3IyYTh2cGk5ZUN4V0M5NDJoSUpyZFU2SVdjdXRjRnQtNzNuWGlPRUdMd3U4dUlINFpHQ0ZJaGFBVnBnWG1zZllLRVZEanJSOWVheTNNZHU1ZEdIQWV6ODVkbi1tWENSTkNzTFAtUXJ1T253aHlwSFJFWFFpcVJjTG5CeXRCenFieWIzMVhmWWdhdHp6VQ?oc=5</t>
  </si>
  <si>
    <t>The sentiment is 'bearish' because the push for carbon capture systems in oil sands implies increased costs and regulatory pressures on the industry, which could negatively impact oil producers' profitability and sentiment towards the sector.</t>
  </si>
  <si>
    <t>Oil gains on short-covering, nuclear talks - Reuters</t>
  </si>
  <si>
    <t>https://news.google.com/rss/articles/CBMisAFBVV95cUxOTTh5enpYX28xTUw1ZjBuN18tTVAxVXRnZDlVMWkxUE9HeHdvVUhVNzNUZ3NGV0xFaTFRMGtEQ1N1WFN2R01KejlsTUJpcHIxWG9QbFhOMjlGWHBqSmhTRjFlNlFJNVFveGVqTEo0b3p0UkNuNnFkdVlNaWNnbkZrMTlRcExQUkJ6S0JRQ3REc05VejBSeEpWMmxFem1LY1hCZ3hOTVEzaE1mR2I2a0w3UA?oc=5</t>
  </si>
  <si>
    <t>The sentiment is 'bullish' because the mention of "short-covering" implies that investors who had previously bet against oil prices rising are now closing their positions, which can drive prices up, and the ongoing "nuclear talks" may be hinting at a potential easing of tensions that could lead to increased oil demand.</t>
  </si>
  <si>
    <t>Oil Prices Under Pressure as Supply Concerns Outweigh Geopolitical Fears - Crude Oil Prices Today | OilPrice.com</t>
  </si>
  <si>
    <t>https://news.google.com/rss/articles/CBMivAFBVV95cUxQMjZ2bHdrY2lyOGF2S0dub0pRcldrS0lwS2h5bmMtQ3h5LUJLQWVxZWJ5cy1kQUxpRTN1bDVELVN3cjluLWdXWjFOY21Da0lKQXYtbWYyOExSYmNkNC1wdHJaVHZmXzlNRWNldkF6alVXc1BvdVgwTDlHWkNlMnNMNlA2Y1ExWV82Und3X2FreFhYSkZ3cloycGJpSXZFM2tZUW5TV1JYS1haR3hqZVJweTZlb01mZkdfUEduV9IBwgFBVV95cUxNeDdpLWJBMm9IRXhxVHNXUmdwelVCU001SEVfa0lMa0c1S0h0eC02a3BzWXdQcGlxYmVFX3VaR0dZM0E3dUs2VUFvS0NNRDdCR0p6RDVUQkNYVXFVcFJwal93cmRVcDZOekZwa3BEdHlOdXlDaHZUeXNhbXdyWGFINnRHNjI3aG80X183MEF1X2sxNmhYdGM2YXQtLUw4UXpNM0UxcFJtWUE5anNvWDlKU0JNc3BwOC1SV0tUT005Wmd1UQ?oc=5</t>
  </si>
  <si>
    <t>The sentiment is 'bearish' because the headline suggests that supply concerns are dominating the market, implying an increase in oil supply or a decrease in demand, which would put downward pressure on prices.</t>
  </si>
  <si>
    <t>Trump's EU Tariff Threat Puts Oil Prices Under Pressure - Crude Oil Prices Today | OilPrice.com</t>
  </si>
  <si>
    <t>https://news.google.com/rss/articles/CBMipAFBVV95cUxPWV8zTDU1QTlqOXJnT2NCaVBla1g3VkRmdERnUUJhRmloaFRSRVUweVhacFp5R0FDT0Y4TmVDNHJYeUtfczFOVVlUNEF1bGQxd3ZWbjRxOUFqMHh4YVhkRGdkeGhKaUpaZHQ0NG9jYW5yMzNVSHJ0Um1aZy1HdTIzQkhzcnVmUWpSWTVMWkNQUnFCMmdqYlk3N1o4N2RGTmNtckNDQdIBqgFBVV95cUxNZ3gzQ1BQd1lWSEdIcG9RQW5jUlNnRDktNUVQMzVVMUtvZjRVaDdYMnBlVW5xbmlvZS0tSTRtUnVDd1B2YW1SRXFyN1RPOG9ERlBUMEM0eHQxVzZoejhDQ3dkZl9nOUtad2N4dTdER3NvaVM1ZFMzWWxCbGVIZlZXUDNDMW1WY2xCTHlEZjltVl91SUh4WDNLdEFCYm1nNHVaaW9yeWhJcTlvZw?oc=5</t>
  </si>
  <si>
    <t>The sentiment is 'bearish' because the threat of tariffs imposed by Trump on the EU is likely to lead to a decrease in global trade, which in turn would reduce demand for oil and put downward pressure on prices.</t>
  </si>
  <si>
    <t>Asian Buyers Increase Purchases of Murban Oil - Crude Oil Prices Today | OilPrice.com</t>
  </si>
  <si>
    <t>https://news.google.com/rss/articles/CBMiowFBVV95cUxNb2xkdDdPUHRzZlVPUlRCZUNqelBDSHN5enRnUEp3aC1rNEJOZXRwMDNSdmliTTZrN1VFTGFWS3dLWE5QOG9McllDZnlLMml0NGc2UFRGaXAwdXBrRENOSHIydUpGR1RyM3ZTcWZ3am15TUFTdFVlSlZEYkFkbGhmY3E0OERMZmszWTdaNW1WUVU0LU5tWXpaZnkzOWZqS0J3TWtV0gGoAUFVX3lxTFBka0pDb2RRSUJQeC1DTTVnVEluc1JhLXRsYUdzQ0FDeFhmWXZjb0VucVY5MU5WYXpWcldCM3RxcENOS09qc0t6MkhybWFMWjJJSV9wcWVFM2xaaXJWN0tlbHYxN3JNR2gzQm1ORHFVZ3BXMHNxRmpyUDBWaERueUkzbURMb1gxZHhpb0NxbWRMS0o5Vllnb3h4SWVlMXdybmtFSXdVRWhNUA?oc=5</t>
  </si>
  <si>
    <t>The sentiment is 'bullish' because the increased purchases of Murban oil by Asian buyers suggest a rise in demand, which can put upward pressure on crude oil prices, supporting a bullish outlook.</t>
  </si>
  <si>
    <t>South Africa Launches Oil Giant to Revive Energy Sector - Crude Oil Prices Today | OilPrice.com</t>
  </si>
  <si>
    <t>https://news.google.com/rss/articles/CBMisAFBVV95cUxOZkNpeklGZ1ZwRXludG9Kazh5VjdIVmp5VDVVQ2JSV2dCVFRwenlBT0lvd3BJcS1BQl9pMWFQekFKVkU3UjUzeGFKSFRrcnZoXzB5dUh4OUJ5VjJ0OFN2cnpTZWlneXFucDBOZmNudEVic3pqTzBzT1NxUk9RemtiVmlhd1BHRURLT3l4aFg2c3gxZTVpTUJlOTlVVkJTN1B3bE9LTXhTTlVJOTJqOGNucNIBtgFBVV95cUxPNmVmT09pRGNFY1BkTjZaTlp5Q2VKejNPbEVDbU4yanBtbjNXVGIxTGNxOEpGUGZHM19VU0o4VkNJU0xrZzhMd09RbWx3RDJjVTgzQ1JaamNTLTRiOWxZX204QXpMZ2x6NVJBNjZibE1odTY5M0x2cTVNYW9mZm9SN25NbUUtMlNCOG43MkN3WXhwSHRlcUFjUURBYUNHWE1hNWJxREtLVlhhYml2OHQxRU01Qnlmdw?oc=5</t>
  </si>
  <si>
    <t>The sentiment is 'bullish' because the establishment of a new oil giant in South Africa is likely to increase crude oil production, boost economic growth, and potentially reduce dependence on imports, which could lead to increased investor confidence and higher oil prices.</t>
  </si>
  <si>
    <t>Oil Set for Weekly Dip on OPEC Output Plans - Crude Oil Prices Today | OilPrice.com</t>
  </si>
  <si>
    <t>https://news.google.com/rss/articles/CBMikAFBVV95cUxNMHYwY1pMOVRkVDhrazFKQ1BuX1RvWjNFRy1xTGdqTFk5NFdvYTlubFVHZnZQOWxIYUh5SmhySEx5V2loVnYxNnJ4MklOWHlYTW1xdXpWN0xuamRSZFFQM25aQ0ExNlRtazYwZ2ZIdTRsQ3N6U1lrZDV3MF9pcjVsWkVXa3pWeTEtY3ZWSGpFcnfSAZYBQVVfeXFMT0VxRVZGSHRVOXkyZG43b2xpc29uaVU3cWFCRFFXSWVZVlZ3RjQtWjFnX2JOd19ZaVA4Ul9VUHloSzFtLUhMd082QVZWMHk2cGMtdloyNHFiR21LM2c4ZDV6UE9WVmtiSUR5UmFPTTFndUtjVk5JaEN6VUJuV1IxcXlpbGtUbmhmdWFuWllFZUpIaU8xbjNn?oc=5</t>
  </si>
  <si>
    <t>The sentiment is 'bearish' because the headline suggests that OPEC's output plans will lead to a weekly decline in oil prices, implying that the cartel's production decisions will put downward pressure on the market.</t>
  </si>
  <si>
    <t>Oil Rig Count Plunges Amid Scary Price Environment - Crude Oil Prices Today | OilPrice.com</t>
  </si>
  <si>
    <t>https://news.google.com/rss/articles/CBMimAFBVV95cUxOYXRNNkpraTMyZVctM2h0RFhqODNQWXZFQkNJdEdhOHJzWVpDQnQzQ3NEc2YxVmZpY0ZzQ2xKOUZQZWNYMWptUTY4VFZqVTBocnFLTS16MjQyemVxbjdYVGpCbHhGNXVyUUpYQXZvRlRjQlE2NmpNNmdObFdsV0IxWm1QdjAzUlFyajE2TmMyVWstN3AtLWNGTtIBngFBVV95cUxPX0poeVZzWEcwb2hmNU5YZHBoUDU1SDdEYWdtZzg0YjV0R204WnpHYS05X2phVGltcmNEazhGTG9kZlFwZ0V0ZVAwenhJUGJzVUtIRTl2XzR2ZUJNTFhRMW5HTDFZXzBzekRhZUoyeXpXWVlzWHhuc1BobDdMdFUya083NDA1YnFFRGFRNkpRVWlnU2pKVGFDbVI1RnRfUQ?oc=5</t>
  </si>
  <si>
    <t>The sentiment is not 'bullish' because the headline suggests a decrease in oil rig count, which typically indicates a decline in oil production and potentially lower future supply, which would put downward pressure on prices, not upward.</t>
  </si>
  <si>
    <t>Oil Set for Weekly Drop as OPEC+ Weighs Another Big Supply Hike - Bloomberg.com</t>
  </si>
  <si>
    <t>https://news.google.com/rss/articles/CBMingFBVV95cUxOekRSLXVYcHFtc1ZKcjQ4YXdSai0tYTJ2VDg5ZlNYd1lCWlNqejFqdmpfaG0tdGplR0k0TkczSG5PR05hSnZrSFFIRkxXeFB0TV9SaUdOMkdJLXR1eVpLX3ZmME1XWm9HUnZJSENmamJJS09yMGVXMjJjNUdHZE01UTZBbC1SdDNOMDh1d1B4Szd0cjdNcTFWRDB5VDZUQQ?oc=5</t>
  </si>
  <si>
    <t>The sentiment is 'bearish' because the article suggests that OPEC+ is considering increasing oil supply, which would likely put downward pressure on prices, leading to a weekly drop in the oil market.</t>
  </si>
  <si>
    <t>US crude oil storage demand surges as traders brace for OPEC+ price war - Reuters</t>
  </si>
  <si>
    <t>https://news.google.com/rss/articles/CBMitgFBVV95cUxPUl9WcjJnVU9zUWZKOU9UR2VvUmE5ZFJRSjN0aVhfUE1mN0tUZDJjd2l0WFJRYkRmRktIRHc0OHNPT1FPU3dIZEZoRmlMMDA0d01ON3ZIRzN3RS1PR2JLcXdxQ05VWGt5YVRiblZFVk55cDNaWHlrczNUQVBrMi0xOFhfRGxfQ3pDSTVXa0JHbms2YjhEUzFsR2ZVVFE5dWZES0RwMWpXLVBUX1JHOW1CdlVXcWN4Zw?oc=5</t>
  </si>
  <si>
    <t>The sentiment is 'bearish' because the surge in crude oil storage demand implies that traders are anticipating a supply glut and subsequent price drop, which would negatively impact oil prices and the overall oil market.</t>
  </si>
  <si>
    <t>India's Russian oil imports hit 10-month high on strong demand for ESPO crude - Reuters</t>
  </si>
  <si>
    <t>https://news.google.com/rss/articles/CBMivgFBVV95cUxOakUwNmNWckdlcFpMMkluOEpWT0F2TXVuRGFEeWxlX3BLcG9oZGlIWnBxVmIwTlFfb3VBVXR3clNMNDhCcG0tRktuWHZjNERRZlo2em82S2Nvc2dFQXd4YlAwQ0Y2cWFWcDFDSmU3eGFzZUxibWpJN0JFWXpGRUsweEhsRlhQWUZ4X1p6UWJtT0xHMVM4TDloSmI5dTZBdGtEYnNaYWxPNlM2RkNTYUhOMzBPaWZuSkVwcjd1dzlR?oc=5</t>
  </si>
  <si>
    <t>The sentiment is 'bullish' because increased demand for ESPO crude, a type of crude oil that is attractive to Indian refiners, implies a stronger appetite for oil in India, which is a positive indicator for oil prices and the overall oil market.</t>
  </si>
  <si>
    <t>Video: How Middle East Oil Giants Are Building Soft Power - Bloomberg.com</t>
  </si>
  <si>
    <t>https://news.google.com/rss/articles/CBMiqwFBVV95cUxQZlJJdzhpb0hFWlI5RDZMWEx4TklfN3EteWNQNmlldFo0ODk2VUg0WHRXOEVPYVJxMmhLOS1DMFBnZ29UTFpORldnMUxZTUxkck9ZLW1nWGpZNDhpS1FxRTVrYTVTbk92V243blU1ZjI4aHFJT2JSdUpMNzJmakl6Qnc1Y1ExZ3QwZTdnbzRLOU1uSm1xZXlqRkdZVGJ6Yk9EODY1N3hrOGpPTHM?oc=5</t>
  </si>
  <si>
    <t>The sentiment is 'unrelated' because the headline appears to focus on the concept of "soft power" in the context of Middle Eastern oil giants, which is a topic related to geopolitics and international relations rather than the oil market or energy industry specifically.</t>
  </si>
  <si>
    <t>Oil Prices Fall as Uncertainty Clouds Market Outlook - Crude Oil Prices Today | OilPrice.com</t>
  </si>
  <si>
    <t>https://news.google.com/rss/articles/CBMinAFBVV95cUxNRzVDTDViYUZ6U2N0dThNY0VJVFI5d3RlRHY0a0pIcVI5b2lMWFJNaUtmLTBwdkZJYnMwSjZFTkc4cEZSb0tPREZmNVN1Z3JTNjZFUzNDbWdSWldOOUZSV2FKMmRhNlcxOEJVc19aRGFqdmJhc1gwNFJrMTNvY0VPNG9lMlhmd0xETnVibENjMTRGSm9lMVlhX2xBZm7SAaIBQVVfeXFMTjJtMFdRRXhBYmxWbjNqUzlZVHFfeXJ6b2d6VXdrR19vR2hDV3NqUTlFVFJ1Vk4wUmJXcW4yRzFlSXZQUmVMeENwYmdoTW0weG1Id3N4N1dDam9aNDJUazgtenpIQ20xdWZPbTIyU3ZUSG9TMm5rRXhFWnFnSDNoY05kWUI5NUtDa3BxenZqMWhiSDQ2NlUySnFpRUF1LVNLUGRR?oc=5</t>
  </si>
  <si>
    <t>The sentiment is 'bearish' because the headline explicitly mentions "uncertainty" clouding the market outlook, which implies a sense of nervousness or pessimism among market participants, which is typically associated with downward price pressure.</t>
  </si>
  <si>
    <t>Deutsche Bank Hits Pause on Oil Restrictions, Citing Legal Risks - Bloomberg.com</t>
  </si>
  <si>
    <t>https://news.google.com/rss/articles/CBMitAFBVV95cUxPSW5BZmtyUXNPY0NGbTJWdjZkLVFQMVg2SE44czFhVUhHZ2toTk85QWZMcnVsVFg0R044andxclYyX0R1YmVVZURWZmRNLUVXc25Ia0l1S2Ita1ZUdDc4OV9JYW5aQi1mc0toQmNyYk44VFBpMFcwbnVZVDB6REVsZFlUa0szSlo4cmItbnJHV3RGVGtiZ19fUzVlTFktVzY1bTFpVGRjQTlMX0FQWUpzWHdncG8?oc=5</t>
  </si>
  <si>
    <t>The sentiment is 'bullish' because Deutsche Bank's decision to pause oil restrictions may imply that the bank is less concerned about supply constraints and potential price increases, which could lead to a more optimistic outlook for oil prices.</t>
  </si>
  <si>
    <t>Oil Extends Drop as US Stockpile Build Amplifies Glut Concerns - Bloomberg.com</t>
  </si>
  <si>
    <t>https://news.google.com/rss/articles/CBMingFBVV95cUxQQ1FieDd1c0VuOEpMN2NIYVhJWUpqZUVpcER0UnZqTzY0N1luY08zTmpLUy1hMHozaXY2Mm4zdmhPQTlHQmkxbHJGUjFLa2R2Y0dRc2Jsc04xcXJqTTdtZU1kbVlGWXJURWFzNnpSRjFfY2NTaGdvU1BLR3dPaHRwaGtsVWhwVjVMMlZCOEExSGlYUVR0bEcwVGM3NDBjZw?oc=5</t>
  </si>
  <si>
    <t>The sentiment is 'bearish' because the headline suggests that a build in US oil stockpiles is exacerbating concerns about a supply glut, which is likely to put downward pressure on oil prices.</t>
  </si>
  <si>
    <t>Canada's crude oil shift to China schools Trump in unintended consequences - Reuters</t>
  </si>
  <si>
    <t>https://news.google.com/rss/articles/CBMiywFBVV95cUxOdzJTM1dvUVVrSEVyN2x0eHI3WWFVMHdaLXNzb1lxY29sbTdqTEpibFZTclhyYk9pV2c2Y1djbDFuU1R4d0lQY0g2Yll5bW11VWJSa2NxT3AxOE5nVVVkSmdSdjZKODdfb1BCMVNwNkRqNy1DUlhTRF83cWVYMEJ5dEl4c3pxSnBwTktrSWxMRGdBZnFKNXNYdmFyMnFaWTl6T0hHcWZ0RzhKMnloaFcyTlVqcTctWHU4cWY5RXZYOUdXNWlFWXNmRmZubw?oc=5</t>
  </si>
  <si>
    <t>The sentiment is 'bullish' because the headline suggests that Canada's increased oil exports to China are a result of the US-China trade war, implying that Canadian oil producers are benefiting from the situation and gaining market share, which could be a positive development for the oil industry.</t>
  </si>
  <si>
    <t>The Biggest US Oil Field Is at Risk of Poisonous Water Leaks, Texas Warns - Bloomberg.com</t>
  </si>
  <si>
    <t>https://news.google.com/rss/articles/CBMiuAFBVV95cUxPRmEtVnpHaUgzX0dMM2NFSjJYbC1wWVRTc20zQUlXeXVKZFZpQVRKVjA1YzRVY2Fyd3djeHdvcXJYcGk2Skd5RlI3NE05bjZQTDQwNzR1NGZtMjJ3WFUxdEczR2xjZEl2dzdGMVdCaFR6b3d4ZFE3bkJTZ29Ccmx2YjhEeXNaQTJpRkRYTzVObGtoZHl5eUFOTWpDeGJxV2tLNnJZVVFRbWpjUnBmU0dBQVU4X0hBTHVZ?oc=5</t>
  </si>
  <si>
    <t>The sentiment is 'bearish' because the potential for water leaks in the largest US oil field could lead to operational disruptions, regulatory scrutiny, and increased costs, all of which would negatively impact oil production and prices.</t>
  </si>
  <si>
    <t>OPEC+ Discusses Another Super-Sized Output Hike for July - Bloomberg.com</t>
  </si>
  <si>
    <t>https://news.google.com/rss/articles/CBMisgFBVV95cUxOeWpZNjVFaFEyN2MwZktQWXg3Mjltd0h2dTQ2TzBqenlneTRma0dfWEVwajA1SHVody1kU3NySmU1MzlQNVhHSDhTOXBQNU1VdG1OQ1N5eDg5TWlxVGNGME1zbi0zR2Fybm9VcU5yeEw4Y1BfVDBpRnh3QkQ2VVY4bnczSHVSQ1hEZ3VxSnc5bUIxNG1iREw3dFVBT2pKV1hKcTI5YlRjRDdxQ2Q4TktKS2hR?oc=5</t>
  </si>
  <si>
    <t>The sentiment is 'bearish' because a super-sized output hike would likely lead to increased global oil supply, putting downward pressure on oil prices, which would be unfavorable for oil producers and bullish for consumers.</t>
  </si>
  <si>
    <t>OPEC Considers Another Big Oil Production Hike in July - Crude Oil Prices Today | OilPrice.com</t>
  </si>
  <si>
    <t>https://news.google.com/rss/articles/CBMirwFBVV95cUxOZGROcjRGNnpPb0ZGaXR3TFZDSWxoUFpXOUhpOTFQR2dkT3RzNndnajYzVDlkUmtRVzA5eGp6Uy1yTDIyQU5xdG9vRFIwN3Q3TlR4ZktLMTVYMnpzV2d5RW5vYWRoMXQ3RDJHX0RkNVNuWmpRell3clZUdlJsaGlKdUxIZER4QXZ1STdNSWFIbEdSLVVmYXpQNWNFX2lkLXBYRzNSaEZDcTVnWmlBWUdZ0gG0AUFVX3lxTE1LUW5VYmtnT0ZuRE9hX0F3MlVnOWJ1dUtKNkw3eEl6ZHBydV9fTmNVbk16V0tNaDROS3hRckFVMjdDZ3RrZktlR2ZjQ01SWEtuTFU3cFBKUjI1WGJlUzNRS2N1VVpvWGFqZ0ExZ0tJNmJraXowdEhydE9sQ05kdXdLaXZQQjdmVXNDVjlhMUFjZ2o0bTZES0sxQi1EM1dRUHNrZDNZcHY0Sk9PTEttUFc1amxyMg?oc=5</t>
  </si>
  <si>
    <t>The sentiment is 'bearish' because a potential increase in oil production by OPEC would likely lead to a surge in supply, which could put downward pressure on crude oil prices, thereby benefiting consumers but negatively impacting oil producers and their investors.</t>
  </si>
  <si>
    <t>Trump Tariffs and Low Oil Prices Hit U.S. Energy Deals Hard - Crude Oil Prices Today | OilPrice.com</t>
  </si>
  <si>
    <t>https://news.google.com/rss/articles/CBMiqAFBVV95cUxPWVpzNXQyNU04UXlOeVdCMVg3M3k2cHBQV3hOMjVlWEZqUUpDTFRYZno2LXRHbXlsZEhwSXJVOFhHWnk3SGp0dWxMZjE1aVhOYlJUcXM3ZGZpYnVUaTFUQU1iZmEwTlFHR2FGR0dHRjhkbDV2aEV5cXJvam9ZOEtpR1RpeXc2cHIxWGJuU21BZEJ4QjFFTUpoWVpOSF9ZZWZJNlhGYm5neEzSAa4BQVVfeXFMTjQwblhiMVhpdGpXdmxLTi1SY1hhVkNHZURxOF9iVFh1RDVjT3hyYVIwN2d4bmJNSk9MajlKN0hrdDNYZVVyXzdHTjNyMTNqV1FEZkNMaEhNbUdTeTdlRU5rbzAtaUZDZEZnQ1d5NVE4Q2JhQTItN1ZRUHZpT0VrdGpjTUxhYmliUF8wSVluR2NHbFJoaVhiN05NVDh6UlZxMnY4eGsyQUJjZnFZWTRR?oc=5</t>
  </si>
  <si>
    <t>The sentiment is 'bearish' because the headline highlights the negative impact of Trump's tariffs and low oil prices on U.S. energy deals, implying a challenging environment for the energy sector, which would likely lead to downward pressure on oil prices and energy investments.</t>
  </si>
  <si>
    <t>China's Oil Demand to Peak Within 5 Years as India's Continues to Climb - Crude Oil Prices Today | OilPrice.com</t>
  </si>
  <si>
    <t>https://news.google.com/rss/articles/CBMiwwFBVV95cUxOTURvdmE4SDQ3cUh2emhkZkU5REpyRnZ5dlhta1E3XzllY0luUG4tOGlBcjZRVXU1NV9FMW5kbGhmMF90Z05qMzZWUkRkZE92amhRN21Xc1h4Nmg2WG40d3NIWXNPWDVzLWpLQ3dMT2JUNGdVakJEOHdCS05GemlLNDQ3TTN1Y2x2a28xdks5MGtLV285Mk9xbHhic3VVQkNLRTNYUUhBRmlNdFVjSEloWWFxa0NVcElYV1RtVEp0NU5lRWvSAcgBQVVfeXFMTzdkTENpTE5sNS12TUh5clRlMklJYU1IWGV1dGc5dnlXUmhZeEh2YXRpbEVWVERJTXd4ZVF2WUkwc1hrSTJMbTF5VGg4NnRLTHZQbUxxM1hjdGRlNE5rQU5TVlZWU3VoQWtSRGJxMzJ6aVBrWDF5UHZHbGJBLWstQ0t4b0ZlU2I1RUxrczZsenZOdTQzQ3VzUHh6c2dycHV1dGZzSFlnUF9wOExEYlB3c3AyUGNvN3VqZTdlWWU4d094dVk0cDRpN1I?oc=5</t>
  </si>
  <si>
    <t>The sentiment is 'bearish' because the headline suggests a potential slowdown in oil demand from China, the world's largest oil importer, which could lead to a surplus in the global oil market and put downward pressure on prices.</t>
  </si>
  <si>
    <t>Oil prices settle down on potential further increase in OPEC+ output - Reuters</t>
  </si>
  <si>
    <t>https://news.google.com/rss/articles/CBMinwFBVV95cUxQUGVsNDd0d2lYaGZSTTJSNGpyY0w2MjFrNnJhTk9vWDhNQnN6NklELUxLbVpvczR4R1ZpS2RycjdNVnpOWTY5WkV1ajYyLWR5Tm9IUVM3bHlocmVEX0NiZWtEYkJsODVuQmtrWlAxVFRsRDEzMzY1bmdzb2ZVdFVPRjRtajZ3bE1sY1ZldGwzRkhYVnZXbV92ZWJNcGZvaGs?oc=5</t>
  </si>
  <si>
    <t>The sentiment is 'bearish' because the headline suggests that an increase in OPEC+ output could lead to a surplus in the oil market, putting downward pressure on prices.</t>
  </si>
  <si>
    <t>Nigeria Urges Firms to Boost Oil Output to OPEC Quota - Crude Oil Prices Today | OilPrice.com</t>
  </si>
  <si>
    <t>https://news.google.com/rss/articles/CBMirgFBVV95cUxNY1JkdTZ0djNsZE5Oa0s2Z0pKOEFrMEJKRlpDUWowaWdVdG11ZTA5VnF3ME9sNFEyXzdJOTFTa1hoMGhCZkxCNHhqbDQtcWpIZ193ZDB0ejRNR0J6YTlqWHdCdGVnQnRqRTVkd3VFSnVpd1FRWTRsbm9JS0pISnE1ekxjV0EtaFJJd29MNGlta2gtelQzZDdiT2dwMWU4WnFnalRCallaMXhVdG9EUlHSAbMBQVVfeXFMT2J1UVpfaVpHcTF0Yi1HODhrM21SbW9SZVVKdWVHdlZXdndVajVyVTVTQ2drR0NVZEp2YlNPUGVkRy0xV2Vqc0IyYWFQWjJPNUlBeXpWQWVfZTJyXzg0b1BCUllHRVFuZzJkdm5mMEpmQThCRTFQVHpHdjcyMEN5ZkQ2eHlHeGpMUVZCN3UzNDBhSWRZMk5JV0NUMmYtMV9hS1dUdmRWX0VLbEEyR1pyNFF3Slk?oc=5</t>
  </si>
  <si>
    <t>The sentiment is 'bearish' because an increase in oil output to meet OPEC quotas would lead to an increase in global oil supply, which could put downward pressure on crude oil prices.</t>
  </si>
  <si>
    <t>With output hikes, OPEC+ again targets US shale oil - Reuters</t>
  </si>
  <si>
    <t>https://news.google.com/rss/articles/CBMiowFBVV95cUxOYS1hM21PbWNpcm1ZS0dKZVhtS05CVlhlSHRvNURLVl9EOXFUOU5BVUlXc0VtbHhaRWFnMW9xamJ3WVJyMVFMV0tBTW8zdXRlak1LU3g5ME9fTjdDX0VUQUNvUGxGTVZNRXJPZEk2eVEwSEd6VVN6eWxnU3NUamgwaDBxcWQ5U3Y2WkhCV3NlZWtDQXdRZEVXVXFXUnI2ai1ENHhJ?oc=5</t>
  </si>
  <si>
    <t>The sentiment is 'bearish' because the increase in OPEC+ output is likely to put downward pressure on oil prices, making it more challenging for US shale oil producers to remain profitable, thereby negatively impacting their operations and investments.</t>
  </si>
  <si>
    <t>US crude, fuel stocks up as crude imports rise, product demand slips, EIA says - Reuters</t>
  </si>
  <si>
    <t>https://news.google.com/rss/articles/CBMiowFBVV95cUxNYjhfR1l4ZzYxUWF6TDdhbmkwcHNwc0xCQVB0YTB6eDNKT0xrUHZ0YmgwMlQ0NHhJTzZEbUFnaXFiamc5ZmE0YWZ0cW9TZ3lzcENueVZkeVAyQnFBWDdBNHJCeFdET2hUeng4SjNJa1NLUWpmR1VFX253MFNzaV9QMnVWU3BYdHpoXzFWaWdYR2t0RVdjR0pUSHZZMGF1Sm5GZWlJ?oc=5</t>
  </si>
  <si>
    <t>The sentiment is 'bearish' because the increase in crude stocks and fuel inventories, combined with a decline in product demand, suggests a surplus of supply over demand, which is likely to put downward pressure on oil prices.</t>
  </si>
  <si>
    <t>Oil Jumps on Possibility of Israeli Attack on Iran - Crude Oil Prices Today | OilPrice.com</t>
  </si>
  <si>
    <t>https://news.google.com/rss/articles/CBMimgFBVV95cUxPb2ZfVWY4bTVqQWJoVDlrYXRCYi1xelMzSElHUS1YdFVnOWxiZC1zRDlTMGlvTUNUcTRlbkk0UkFBUjVJbmF3ZVhuTzdWTlJWNXNmUTllcEIxYnZMcktxNnI0YUV1VFlPQTdoSl9HNmxCQ0NIcFJMa0J4NTBVb0lTcEJIRHZ4cFRZNWdSTEhVVU1RTEdXdkxJamxn0gGfAUFVX3lxTE90VHBBSjJlaVdqUXpCZG45RnZScHdpNlZSa0RDUU9neEROSy1VUHB5MjdOU2FrRmJvVXp5b1VCaTJBVmZBQ2gzYm5mUzduRTE2ZHNRLS1BTTBPaHBBUFc5SHI3UHhfOUliVDZSblZyZGw4bTVTUW9jbFNhdXZrbER6eEw0Ujg3WlFhVWtWWDRhSkV0bE4zZ1FGNGNsc2g4TQ?oc=5</t>
  </si>
  <si>
    <t>The sentiment is 'bullish' because the possibility of an Israeli attack on Iran increases the risk of disruptions to oil supplies from the Middle East, which would likely lead to higher oil prices.</t>
  </si>
  <si>
    <t>Oil Slips as US Stockpile Gain Overshadows Iran Strike Report - Bloomberg.com</t>
  </si>
  <si>
    <t>https://news.google.com/rss/articles/CBMingFBVV95cUxQX2o2TVV2TF9NMm12NFZCLVJCM18xekw0RmtCY2pkWE1iemNQdDl4RFFrczMtRkpiUFlXWlViM0ZFZ250b19XN0d3aUN1ZEVjb1BFYl9NNHJfeXlpT2FkcXloN2NpdGxoNjZhc2h3ajd2dkVieEVYR29pZnh5RG5MMFc3MHJlLXkxTlJvYllWWU9rb29XY1YyM2ozWm9CZw?oc=5</t>
  </si>
  <si>
    <t>The sentiment is 'bearish' because the headline suggests that an increase in US oil stockpiles is having a greater impact on oil prices than the potential supply disruption caused by the Iran strike report, implying that the market is more focused on the bearish factor of excess supply than the bullish factor of geopolitical tensions.</t>
  </si>
  <si>
    <t>Oil prices fall on news that US-Iran will hold nuclear talks - Reuters</t>
  </si>
  <si>
    <t>https://news.google.com/rss/articles/CBMivwFBVV95cUxQWkdnOFgyV0Z0dUdjZFFYY21xam9YOWpxczNYRlZveDdFbWVSWDlDWW92X1hxU1ZqSHBod2owUDN5N0R4bGIySVVhRFJLcFQzNVdqTzdzblZzR05FZ2t0anA4eno5aWtYNW1lak9CMVQ1cG56ekxOTzVab284dU1sYnd3dWF3QjdNTUpZSm1XSWJVRnA5bHZya2dlWFVnRWdka0NfWUY2Qll0Vkw1am1OTGg4Y0VFYW5sLTVmeXkxTQ?oc=5</t>
  </si>
  <si>
    <t>The sentiment is 'bearish' because the news of US-Iran nuclear talks potentially leading to a lift of sanctions could increase Iranian oil exports, thus adding to global supply and putting downward pressure on oil prices.</t>
  </si>
  <si>
    <t>By land and sea, rising oil stocks are bad news for prices - Reuters</t>
  </si>
  <si>
    <t>https://news.google.com/rss/articles/CBMisgFBVV95cUxQdmtNcTluTERGRG95cWN2RnlMdlB1c2pfQTR6ZkduUkFXTXpqdWlRMUV2eFoxYThLdnoyOEdVdEt6dTNaYWwtUDJDLXBEX3FxcVdxWmU4TFVpd3hZel9NOUpxV0FoTWRVUlJTRUVoN0ZwWW5UWW8zaTRjT2d3eHp2aGtlY0V6NzBBU0ROWFRvRVVmMjZiZ3hiWGJfQ0Jtc3hoQnZLRkhhOHZPQmduUnNHV3Bn?oc=5</t>
  </si>
  <si>
    <t>The sentiment is 'bearish' because rising oil stocks typically indicate a surplus of supply in the market, which would put downward pressure on oil prices, making it bad news for prices.</t>
  </si>
  <si>
    <t>EU likely to propose to G7 lowering price cap on Russian oil to $50 per barrel</t>
  </si>
  <si>
    <t>https://www.reuters.com/business/energy/eu-likely-propose-g7-lower-price-cap-russian-oil-50-per-barrel-2025-05-19/</t>
  </si>
  <si>
    <t>The sentiment is 'bearish' because a lower price cap on Russian oil would likely increase supply in the global market, putting downward pressure on oil prices and potentially hurting oil producers' revenues.</t>
  </si>
  <si>
    <t>Libya Racks Up $1 Billion Dues for Fuel Imports, Risking Supply - Bloomberg.com</t>
  </si>
  <si>
    <t>https://news.google.com/rss/articles/CBMisgFBVV95cUxORGlncWQzQU5abmVnT3VZVnAwNDQ0S3VQOHNRVVo3b0JxS3hBcHl4UXBpRDBDbTIwbjBNYUtKUVpnN0VqcXZSVVlxTmJidm9kc0tPeTRyQ0NDb1FWQXlNODRTekFNYl82NllSaUtqdFNodHMtNmk3NUl2SWxYUUR1aTd1aDNIU3pRdlRVNXFPejRzeU9mNm1QTFZvRXRzd2F0amhwemJ2ckhqczZsNTFyUm9R?oc=5</t>
  </si>
  <si>
    <t>The sentiment is 'bearish' because the accumulation of $1 billion in unpaid fuel import bills by Libya suggests a heightened risk of supply disruptions, which could lead to tighter global oil markets and upward pressure on prices.</t>
  </si>
  <si>
    <t>Oil settles up as signs of US-Iran impasse counter economic concerns</t>
  </si>
  <si>
    <t>https://www.reuters.com/markets/commodities/oil-little-changed-investors-eye-iran-us-talks-china-data-2025-05-19/</t>
  </si>
  <si>
    <t>The sentiment is 'bullish' because the headline suggests that the impasse between the US and Iran is outweighing economic concerns, implying that the risks to oil supply are more significant than the potential demand impact from economic slowdown, which would support higher oil prices.</t>
  </si>
  <si>
    <t>Oil prices little changed on geopolitical uncertainty, weak China demand signals</t>
  </si>
  <si>
    <t>https://www.reuters.com/markets/commodities/oil-prices-rise-signs-faltering-us-iran-nuclear-talks-2025-05-20/</t>
  </si>
  <si>
    <t>The sentiment is 'neutral/uncertain' because the headline highlights two opposing factors, geopolitical uncertainty which can boost prices, and weak China demand signals which can depress prices, resulting in a neutral or uncertain outlook for oil prices.</t>
  </si>
  <si>
    <t>Nervy Oil Market Jolted by Report of Potential Iran Strike - Bloomberg.com</t>
  </si>
  <si>
    <t>https://news.google.com/rss/articles/CBMisgFBVV95cUxPUFNoNW5mZVphRFZHUnU1SlNwWUU4YmxCNWcySU9TT1pKejZjaEtEMDBHQkw4b1JveGpkRTQ3VnBrNF95cEw4ckFKcXdRRldxZzMyc1JOWVpIRGpTVVFYMF9jTDNWTWVLeG9aeWw2eDltX2pncWlGaHh1NmFqZ3A4Y3o1WDRRRDdRXzlQTTVfUDVlZHhYY1NFMzJ4c0JQdURGcmhMVW5GM19ld0VidGVkTWRn?oc=5</t>
  </si>
  <si>
    <t>The sentiment is not 'bullish' because a potential Iran strike would likely lead to a disruption in oil supplies, causing prices to rise, which would be a bearish scenario for the oil market, not bullish.</t>
  </si>
  <si>
    <t>Watch Goldman Sachs On How Israel-Iran Tensions May Impact Oil Price - Bloomberg.com</t>
  </si>
  <si>
    <t>https://news.google.com/rss/articles/CBMingFBVV95cUxONTh1M1dIMTV5SklveDBLajdSaXRXbnBmWlF5YTZHTkxla2pLWkp2eGxHUUJRZVRsVUVYRHNhWW5lQWdMTldUbHdRYWtkMHdNQnlBQTQtTDcwWXZEUHRSZi1XX1JzY2c3WXlCdHp4ZHdVOEhGSzdXTHktVk0tZmY1cjhvaHQydTBYeGhlZXN3cTYtV3djTVJadnV5djgtZw?oc=5</t>
  </si>
  <si>
    <t>The sentiment is not 'bullish' because the headline suggests that rising tensions between Israel and Iran could lead to an increase in oil prices, which would be a bearish scenario for consumers and companies that rely on oil, rather than a bullish one.</t>
  </si>
  <si>
    <t>Exclusive: Kazakhstan's oil output rises 2% in May in defiance of OPEC+ - Reuters</t>
  </si>
  <si>
    <t>https://news.google.com/rss/articles/CBMiogFBVV95cUxNMkpUWWZ3V0U1UjhiYWVkSVZuV1BaSUNhMnY1NWM1c3ZDZ2w0UjV0UHFzVjBnb003WlBYSU9rcDM2Q3RmYVlYZUpqOC00Y3lvaWxJMFY5WXk2OU9tckYtM0lZSGpjb3N2MHNST0czMW9ScnJ5VkZPQ1NWeUFiNWdQS1dKcl9sN3dMRHluVE5xbTY5NjVySWEwV09PbC1ndXNIMVE?oc=5</t>
  </si>
  <si>
    <t>The sentiment is not 'bearish' because a 2% increase in oil output in Kazakhstan, a relatively small producer, is unlikely to have a significant impact on the global oil market, and the headline's mention of "defiance of OPEC+" might be overstating the significance of this development.</t>
  </si>
  <si>
    <t>US Oil Inventories Keep Growing as Prices Sag - Crude Oil Prices Today | OilPrice.com</t>
  </si>
  <si>
    <t>https://news.google.com/rss/articles/CBMiowFBVV95cUxNbk1QcXpoWmUzNXo4N2t1SUFFSnBaWHVRbUFicXZkdUFJcU02R25tcDFJQVJCLThLd0hKSThCY3BHaHpIODBaM05YNlkyWS05bjlEa3Z6Y0dkZngyai13aGxqcDctbGRXT2pzNDhSYVVnc2g1cUJUWTRuMEhRVlNyNUNKckxKdlJJdXppYmx5Rk1mQTlLRVl0VGtjdG5hYUVKSWUw0gGoAUFVX3lxTE9EYTRlb1RabUVaOWhDWEFlUUR0dXpIbER4RWVzZklNWnloRHZub1NySWNtWlNFTkVBN3RwdGtfRTAwUkMyQXNyUlkyVjdXSHA3QWNiUkVfSTdPUTByTG1QNzdGVUhnM2VMNGR0NXRId2pNQTNvQ2dTNzRrUDRXU3NvX3FLZ2lwQllaRG9Jdm5EaG9iSDI4UkxEU05idkYxSGVpN1doT3dCNw?oc=5</t>
  </si>
  <si>
    <t>The sentiment is 'bearish' because the headline suggests that US oil inventories are increasing, which typically puts downward pressure on prices, and the phrase "prices sag" further reinforces this bearish outlook, implying a negative impact on the oil market.</t>
  </si>
  <si>
    <t>Oil Steadies With Focus on Russia-Ukraine and US-Iran Talks - Bloomberg.com</t>
  </si>
  <si>
    <t>https://news.google.com/rss/articles/CBMingFBVV95cUxNQlFOVVhEQXVKbVE1UEhweG5lU2lxMlJ0d2l6bDJLdllhN1lnbFozN2E3ZEk0bkxJaEt1bWtsTjVfVWRSMVpIRENSRGEwa19GNnpuc0dDeVhaX3VObURfY0lVZEJ6Z0VaZ2g2ZW5iSGVuZHlTMzFpNm5DSWpOYW5rQ2lhS3VlYmpRY3BBd0VtaE9xMk01VjFCWTF1TXNlZw?oc=5</t>
  </si>
  <si>
    <t>The sentiment is 'unrelated' because the headline is simply reporting on the current market dynamics and factors influencing oil prices, without expressing a positive, negative, or neutral emotional tone, thereby making it an objective and factual report rather than a sentiment-driven one.</t>
  </si>
  <si>
    <t>ConocoPhillips CEO Says US Shale Oil Can Grow, But Not Near $50 - Bloomberg.com</t>
  </si>
  <si>
    <t>https://news.google.com/rss/articles/CBMisgFBVV95cUxNcmp1OFBkU3p2U3BpVG9wQXhnVWdfOUVSeFdJNmVBMmJGOVc5QjFRQUVrSTFSWTJMUk9nb2k1WDhxRzZGRG0zRVdnZC1pLTVfdUVMbkV4SjlPdGt5d1ptNHVjNXZPWHN2cVZFY1N6YVQ4aUt5enJPYUx4elpUaFF5cHR5M3Q2Z2tOVDNnc0tHc1lFSUZkQTE4bExoejRMekRHQVQzb2lRNjItUFlPN3VFOC1B?oc=5</t>
  </si>
  <si>
    <t>The sentiment is 'bearish' because the headline implies that the CEO of ConocoPhillips, a major oil company, is tempering expectations for US shale oil growth, suggesting that it may not be economically viable at current prices around $50, which could be a negative indicator for the industry.</t>
  </si>
  <si>
    <t>India Plans to Spend $10 Billion on Homebuilt Oil Tanker Fleet - Bloomberg.com</t>
  </si>
  <si>
    <t>https://news.google.com/rss/articles/CBMisgFBVV95cUxONHU0Xy1UNW5PRWI0ZTdjTnFKUnd4MHVtSDZOR09LMmFHbTRKczNZa0JNOV84NVB4djc1czJVa3dOclY4MnJpYVZ3Tmc4SC1uc2JxVVE3bDdETzFZVF81b09yREJBOTBTTVpUS2plT3NRTXV6NG5faVN5aFlWbW0xbDh0UHBfSFVGU0htN2NIcUVkckhBVGpiTTVuekNfOVlwMklpNjJoa1RENkptUDRGc1Jn?oc=5</t>
  </si>
  <si>
    <t>The sentiment is 'bullish' because a homebuilt oil tanker fleet would increase India's energy independence, reduce reliance on foreign shipping companies, and create new business opportunities for Indian companies, which could have a positive impact on the country's economy and oil industry.</t>
  </si>
  <si>
    <t>Ukraine wants G7 price cap on Russian oil lowered to $30 per barrel</t>
  </si>
  <si>
    <t>https://www.reuters.com/business/energy/ukraine-wants-g7-price-cap-russian-oil-lowered-30-per-barrel-2025-05-20/</t>
  </si>
  <si>
    <t>The sentiment is 'bearish' because a lower price cap on Russian oil would increase the global oil supply, putting downward pressure on oil prices, which would negatively impact oil producers and investors.</t>
  </si>
  <si>
    <t>Saudi Crude Burn Set to Rise This Summer - Crude Oil Prices Today | OilPrice.com</t>
  </si>
  <si>
    <t>https://news.google.com/rss/articles/CBMinAFBVV95cUxOcHhPdlBBWDNlc2pHRUVKRDZrZlVQR2xBQ1BxSmpCSlc4X3NvN0RxZjBoU3k3a3FEa2lmNFA4R19QZ3g1RkpSTHJnY3VFYVdEOFREdjVlbzVpUi0yMmdjMXh6MjdHRFZoWXVEcUJYTnIxNUxYZVlEemMtcHJPdTZqOHNNMXJhaFFnS3JrZXMwalB5MzFwVVdjVlhzMDbSAaIBQVVfeXFMUGJiRWV1NGd4OFIzcVRxOFJrNlp1VV93eHZQakQ0NGw0dUNtbnQtb0EybzJHWnk2bU5YOFEzZ0JlNFRtVHFRVGZjbk4tY3JFNjdwbnMyZmZCV1ZaV2ZOa1JXWERaSjNVelV1MUJ1bnhGWUMyaDE1NTVCaHZlYl9aOENzZFJHaDRxNWhjM0IwWXc1SXE5dmFNNjIyQVNoeW9MalBR?oc=5</t>
  </si>
  <si>
    <t>The sentiment is 'bearish' because an increase in Saudi crude burn suggests a rise in domestic oil consumption, which could lead to lower exports and a buildup in inventories, potentially putting downward pressure on crude oil prices.</t>
  </si>
  <si>
    <t>Oil prices little changed on geopolitical uncertainty, weak China demand signals - Reuters</t>
  </si>
  <si>
    <t>https://news.google.com/rss/articles/CBMirgFBVV95cUxQWGxXX1cwVnpfWFp4bUxmNlFaanJFUGI1X3MtUU1QazdlLTB1bUJDLUpYWHBGRUUzVUxvSTVYUk5rSUtCb3FaRmJtNno5NjQ0U2FzYnhTX1BRRzMwbnZibDdKdkRuNjRKa1RRaFZKamJyeEdVdU03OFgxLVdpUW11elhLcGNwdjh2aFRheHdDUGZ0UFVweDIyUGhLanVpVnV2b2lEYkJRQTExU1dzNlE?oc=5</t>
  </si>
  <si>
    <t>The sentiment is 'bearish' because the headline suggests that oil prices are being pressured by both geopolitical uncertainty, which could imply supply disruptions, and weak China demand signals, which directly points to a decrease in oil consumption, thereby weighing on prices.</t>
  </si>
  <si>
    <t>China Customs Data Shows Dramatic Changes in Oil Suppliers - Crude Oil Prices Today | OilPrice.com</t>
  </si>
  <si>
    <t>https://news.google.com/rss/articles/CBMitAFBVV95cUxOU0xDSk4ydUJiX2h4NVhqYTFoMFhBTGRwbjUxZnFZdE81QmFBdnp2bkdrWW9VaDNDWWxlRmRxOEprTjV0NkUzVGgtV2Q0c0hHcFZwRDJ6dnpFdTJhS2tUOXR3c1UwQ2dIeFFPNHd2NkNOUWNYZXFaY1RzeDJXaW8zZ0xCQlpuNWdUMnNSakIxY3lCRkNyZ0JNOHdrdFluQzg2eEpWc0lBbmd4Qkk1ZUJCdkZLQ0zSAboBQVVfeXFMT3kzOU96aEc2T1Y5YjZuR1dNbDI5N3NQTjd2eV83akpCZ003akZMNndNa1VZNFJVWGtwN0NVdVFhLUlZMTVVV2M3NVVzTGVOQ1Q2d0tCZ2RpOElFQ2J4REUwUGFISUgyQ1lHSWh6V3EzdkotX2xtT0xNaEh3RHFIWGFIMG1oVmJRSDQtQjVEN3pWVTNJRnZhSVVmTm13Umd1OVFqQXpKd2F6X1FDMWdvUklKNko2VmxQYUpB?oc=5</t>
  </si>
  <si>
    <t>The sentiment is 'bullish' because a dramatic change in oil suppliers, as indicated by China Customs data, could imply a shift towards more reliable or efficient suppliers, which could lead to increased demand and upward pressure on crude oil prices.</t>
  </si>
  <si>
    <t>EU likely to propose to G7 lowering price cap on Russian oil to $50 per barrel - Reuters</t>
  </si>
  <si>
    <t>https://news.google.com/rss/articles/CBMitAFBVV95cUxObHo3Y1NEaTNkTDFlMktiVjFkVUNsSmhYeFJONmIyaGVwd094bkRFY0d1N3hqN2Y2V1JKc2pEdXJrMmdwOUlzX2N6ZkZ4QWczTnNyLTVKSFFKTHVCdVRUNlRBZFNiaEF5akIwWllTMEw1a1pTMGZTUE9jVzFHNlNJXzMtcFA2dlFBalZoZUYxSWRYLVA5c0huTTdSZzIzRUNaRXBHeVZxd3VmNWUtZkNpTGpDUUk?oc=5</t>
  </si>
  <si>
    <t>The sentiment is 'bearish' because a lower price cap on Russian oil would likely increase global oil supplies, putting downward pressure on oil prices, which could negatively impact oil producers and the overall energy sector.</t>
  </si>
  <si>
    <t>Saudi poised to increase summer crude burn for power as fuel oil becomes costly - Reuters</t>
  </si>
  <si>
    <t>https://news.google.com/rss/articles/CBMivgFBVV95cUxPdWRpdV9LUHRQNGo0eWFmY0lmRnJtQTUzc1FMbkRibkYzZHVZcHJCTDduUk52VTNHaWxaU3kwUHJBQW9wblN4V0ZhS0lBYmV5WDBDUmp1Qm9SYWc1OFNQbVVRUl9rNUtKanJDVlJ1WFpiMzBiNV93T0ZjZFR0c05qSE93S1VWNlFSMHlVWEZMOVU1Rlhpb3pnanY2NEo4SlRQc1ljVEFkUHJSZ3kwRzJzNWJHWDVuZ3J4RU1Pc01B?oc=5</t>
  </si>
  <si>
    <t>The sentiment is 'bearish' because the increase in summer crude burn for power generation in Saudi Arabia implies higher domestic consumption, which could lead to reduced exports and tighter global supplies, thereby exerting upward pressure on oil prices.</t>
  </si>
  <si>
    <t>Goldman Raises Oil Demand Outlook - Crude Oil Prices Today | OilPrice.com</t>
  </si>
  <si>
    <t>https://news.google.com/rss/articles/CBMiggFBVV95cUxOeGVaTkNwX1hXM09lSXdIUDgtcFRoS1pwSm9VX2hHbkdHUF81TjcwOEJHWHdsanA3cngtNWcyckJOMVZsZ1JncEo3Y1lsZXI1TEhDVXVYcEVrU3E0TGswT1RvdjFSWFBuWElPM0xvMk1ZbjhieVZDemJIb3M4NXU0NVpn0gGHAUFVX3lxTE1RdWRnZ3MzcjZFMGtNOVlwWXFCRUtoU2FlWG1JaTFfQW00QmpWWDJSVUhXUER5N2hsUWlueno4SUc4LUFTS1pDNjhvUmJlZTZ1ZDRvNmZxWmdONy1MQXVhbW03SXpVX0dja01hZFY4dmpGMklKLXpUb3I3VV9VVUhiWENJaFI2MA?oc=5</t>
  </si>
  <si>
    <t>The sentiment is 'bullish' because Goldman Sachs, a prominent investment bank, raising its oil demand outlook suggests a optimistic view on oil consumption, which is likely to support higher crude oil prices.</t>
  </si>
  <si>
    <t>Oil Prices Drop as U.S. Loses Top AAA Rating - Crude Oil Prices Today | OilPrice.com</t>
  </si>
  <si>
    <t>https://news.google.com/rss/articles/CBMijwFBVV95cUxOSzlGaE5mVmhNV0lWSmVMMlkxakFPNUFGVV9kRnY2ZkFBbU9oT3lSdUtOZUZMYWhRMy13bVRlVC1xMzNTWnJ6ZXROSWt2NFBubGhIckIyLWZLVkp1bUNBaUFQVnd6aThhWHdFMWFjRy1zXzBVU0lhUGVESU5zOUc5ekZBTldPdGYxbnJodWxGSdIBlAFBVV95cUxOZG11SDVkbmtUSnd4V2toNUZ1dEtxSENYbkdQMDQ4ak45VEdFWTRBeVNXWDl0UkFXZER6SzBQeHU5NWt1X0hmQ18tRVlHVjJTV0FFUFJxV01TeVFiVGtHOFJrV0FRcnRQZUE3MTBQal80WkVDbTl5MmRhTE5aaDVnRXVCSVhQTnJzVGU1bTVMdXp6aUxu?oc=5</t>
  </si>
  <si>
    <t>The sentiment is 'bearish' because the loss of the U.S.' top AAA credit rating typically leads to a decrease in investor confidence, a stronger U.S. dollar, and a reduction in global economic growth prospects, all of which are negative factors for oil prices.</t>
  </si>
  <si>
    <t>Are Big Oil companies prepared for a prolonged market downturn?</t>
  </si>
  <si>
    <t>https://www.ft.com/content/1fb2a6c5-e735-4d9c-8d14-b8d410af28d9</t>
  </si>
  <si>
    <t>The sentiment is 'bearish' because the headline implies that Big Oil companies may not be adequately prepared to weather a prolonged period of low oil prices, which could lead to financial struggles and potentially even bankruptcies.</t>
  </si>
  <si>
    <t>Oil Steadies After Early Surge as Traders Mull Moodyâ€™s Downgrade - Bloomberg.com</t>
  </si>
  <si>
    <t>https://news.google.com/rss/articles/CBMioAFBVV95cUxNSlp0bjUxeDBmbm1JcURaVGhScGdnTW9UVGpPY3RvdUt3WWtGSUlTM2ZpREhUcXNvb1JheW1SeWJxN1lqeFVzZ29Fc1REUzVMS2JSdEZjbnlld1FXOHFMUUlqU1ZveDhTUDhZcnFPWkQ4ZUxwOUpRNTE0ZnBiZ2FoZVhuSFpwU0liWllRSWg1NE1KckE5Um5hOGlLSkEta0Fq?oc=5</t>
  </si>
  <si>
    <t>The sentiment is 'unrelated' because the headline is reporting on the market reaction to a Moody's downgrade, which is a credit rating agency's action, rather than expressing a positive, negative, or neutral opinion about the oil market itself.</t>
  </si>
  <si>
    <t>Lifting US sanctions on Iran could crush Chinaâ€™s 'teapot' oil refineries - Reuters</t>
  </si>
  <si>
    <t>https://news.google.com/rss/articles/CBMiwwFBVV95cUxPR3RldFlIWlhfdEJEd3RSaVYya3h4YzRVSmZoRm15QVd0bC02TWdLcGcwc2U5SHpsWW8wU0NTakdRSldaSXpXWnprRFp3WjVMM3ZGOFQyNnlmV0ZocEVNNkR5elQxeFQxalpRUV9JdlZsQkxRdW9OSnU5dWhsX0dUUk56LUp0S21lRF9xN18xSXNaTkhkN1VnbEFyUTZzOU1MRWMtc3J0SUctWjl0elF6NnVNMnBYQk5LREd6NWJwdEMwUXc?oc=5</t>
  </si>
  <si>
    <t>The sentiment is 'bearish' because the lifting of US sanctions on Iran could lead to an increase in Iranian oil exports, which would put downward pressure on global oil prices and potentially hurt the profitability of China's smaller, independent "teapot" oil refineries.</t>
  </si>
  <si>
    <t>China's surplus crude oil surged in April as refinery runs dipped - Reuters</t>
  </si>
  <si>
    <t>https://news.google.com/rss/articles/CBMivwFBVV95cUxNbzA4cEpYNE0zRnVWTnMxZWcxZ1lpa2prSVlIVDdiX0dKMlR5S1k2SHBPMEk3eUlKSlNIaEN3eWh3bXlOS04yc1VNX2tqRnBsdTVQUE9ZYVZQbC1oSWZKZE00aTFHZGJBaEhmMkdMSHNXbC1FWEwtVlo4UFNfRHZQYjJQZTZWOVFMRjR4V3RuVXFRalB3ak9kbk50QTBfeXdoOEhfUEVzbHVrdEk5N0hrNzJGcVNvLUoyc0lKckVZbw?oc=5</t>
  </si>
  <si>
    <t>The sentiment is 'bearish' because a surge in surplus crude oil inventories, coupled with a dip in refinery runs, suggests a lack of demand for crude oil, which is typically a bearish indicator for oil prices.</t>
  </si>
  <si>
    <t>Oil settles up as signs of US-Iran impasse counter economic concerns - Reuters</t>
  </si>
  <si>
    <t>https://news.google.com/rss/articles/CBMiswFBVV95cUxQTm5FYWdVX2VCMHVTN1ZYZUhfcXlrX2VSNmlXOHAtZHplbndUcTVNX3cwOVRnc0VwX1lRTGVUbUdSZWFQM2ZnZUxQS20zSVdfaHM0SjU5YzFFNkNCU0xYdkRrWDBYaFcxNVVXLXloQUNTZmFfV3VIQzNoTHI1UjNBQmxUb1VVVWZsdVJuazFVc0J5aEFVaVpFbFM5d3ZhOXBRTlZMVzR0MENoZXdTY1VyTU9Law?oc=5</t>
  </si>
  <si>
    <t>The sentiment is 'bullish' because the headline suggests that the stalemate in US-Iran tensions is outweighing economic concerns, which implies that the oil market is more focused on the supply-side risks than demand-side concerns, thereby supporting prices.</t>
  </si>
  <si>
    <t>Oil sanctions could undercut US power</t>
  </si>
  <si>
    <t>https://www.ft.com/content/41ab1389-b477-41fb-97a3-1e82f0ddb580</t>
  </si>
  <si>
    <t>The sentiment is 'bearish' because the imposition of oil sanctions could lead to a reduction in global oil supply, causing prices to rise and potentially stifling economic growth, which would negatively impact the US economy and subsequently its power.</t>
  </si>
  <si>
    <t>North Sea: The UK Is Taxing an Oil Windfall That Doesnâ€™t Exist - Bloomberg.com</t>
  </si>
  <si>
    <t>https://news.google.com/rss/articles/CBMitgFBVV95cUxOMEhSWTVCdUtJcVFxTy1RVmE4U2pSR3J1VDhOOV95YS0wS0RMVVV2d3Z4dDFDYi1oLUExOEJCOGtIX3N6ejFrVHRMSEpiZ215Mkw1anFIbFB5bDJNMGlSRVNJenZSUl9fRlNfRmhFNG42dV9ubjZGV0M5Y2RIczdZNzdLdGp0c2poeFZTUUpFOHNzNEhQb1N5V0M0a3JSTGRkUUtYdTlNR05nSWRxZktRT0xpM1J6Zw?oc=5</t>
  </si>
  <si>
    <t>The sentiment is 'bearish' because the headline suggests that the UK government's expectation of a windfall tax revenue from North Sea oil production is misguided, implying a negative outlook on the oil industry's profitability and potential returns.</t>
  </si>
  <si>
    <t>Oil Futures Extend Rally on Trade Optimism</t>
  </si>
  <si>
    <t>https://www.google.com/url?sa=t&amp;rct=j&amp;q=&amp;esrc=s&amp;source=newssearch&amp;cd=&amp;ved=2ahUKEwiemMPGxLONAxXvzjgGHbmfHG8QxfQBKAB6BAgREAE&amp;url=https%3A%2F%2Fwww.msn.com%2Fen-us%2Fmoney%2Fmarkets%2Foil-edges-higher-but-trade-supply-uncertainties-persist%2Far-AA1EEjvd&amp;usg=AOvVaw2hbThsntVq5vAbWVn2T0EG&amp;opi=89978449</t>
  </si>
  <si>
    <t>The sentiment is 'bullish' because the headline suggests that oil futures are rising due to increased optimism about trade talks, implying a potential increase in global trade and economic activity, which would boost oil demand and support higher prices.</t>
  </si>
  <si>
    <t>Global equities gain, gold prices set for big weekly loss</t>
  </si>
  <si>
    <t>https://www.reuters.com/markets/global-markets-wrapup-1-2025-05-16/</t>
  </si>
  <si>
    <t>The sentiment is 'bullish' because the headline suggests that global equities are rising, indicating a risk-on sentiment in the market, which is typically associated with a positive outlook and increased investor appetite for riskier assets.</t>
  </si>
  <si>
    <t>Oil posts weekly gain but remains under supply hike pressure</t>
  </si>
  <si>
    <t>https://www.reuters.com/markets/commodities/oil-prices-heading-1-weekly-gain-us-china-trade-detente-2025-05-16/</t>
  </si>
  <si>
    <t>The sentiment is 'bearish' because the headline suggests that despite posting a weekly gain, oil prices are still under pressure from an expected supply hike, implying that the upward momentum may be limited or even reversed.</t>
  </si>
  <si>
    <t>U.S. Drillers Say Peak Shale Has Arrived - WSJ</t>
  </si>
  <si>
    <t>https://news.google.com/rss/articles/CBMikAFBVV95cUxPbDFsR2ZXTTZpX0F5dVdVYjU1dUl4NXVpNHE5Umg2LUtEX3NSUGo0TWRyVlFualZwcHBObHU5N2xiT2V4b3VfaVNsbnI0S3dNZnNDRDhBUUY3V0NaTHljSGFSN19Gc3ZEUFlDa3pmNnMzSlpqakZzaDBJMmtLRUlXN25Dc1FrN293bGxkNEplTHY?oc=5</t>
  </si>
  <si>
    <t>The sentiment is 'bearish' because the concept of "peak shale" implies that the U.S. shale industry has reached its maximum production capacity, which could lead to a decline in output and potentially lower oil prices, negatively impacting the industry and oil prices.</t>
  </si>
  <si>
    <t>A Broken Marriage, a Big Inheritance and the Murder of an Art Kingmaker</t>
  </si>
  <si>
    <t>https://www.tovima.com/wsj/a-broken-marriage-a-big-inheritance-and-the-murder-of-an-art-kingmaker/</t>
  </si>
  <si>
    <t>The sentiment is 'unrelated' because the headline appears to be describing a sensational and dramatic event unrelated to the oil market, and there is no apparent connection between the story and the oil market that would evoke a sentiment such as positive, negative, or neutral.</t>
  </si>
  <si>
    <t>North Dakota oil producers plan to drop rigs due to weaker prices, state regulator says</t>
  </si>
  <si>
    <t>https://www.google.com/url?sa=t&amp;rct=j&amp;q=&amp;esrc=s&amp;source=newssearch&amp;cd=&amp;cad=rja&amp;uact=8&amp;ved=2ahUKEwipyJ-CvbONAxXkzTgGHZSeJJUQxfQBKAB6BAgNEAE&amp;url=https%3A%2F%2Fwww.reuters.com%2Fbusiness%2Fenergy%2Fnorth-dakota-oil-producers-plan-drop-rigs-due-weaker-prices-state-regulator-says-2025-05-16%2F&amp;usg=AOvVaw0_uJ2eZSeKPFM6RLyghLUH&amp;opi=89978449</t>
  </si>
  <si>
    <t>The sentiment is 'bearish' because the headline suggests a reduction in drilling activity, which implies a decrease in oil production and potentially lower supply, thereby putting downward pressure on prices.</t>
  </si>
  <si>
    <t>Oil prices drop on US-Iran progress; global shares gain in choppy trade</t>
  </si>
  <si>
    <t>https://www.reuters.com/markets/global-markets-wrapup-1-2025-05-15/</t>
  </si>
  <si>
    <t>The sentiment is not 'bearish' because the headline suggests oil prices are dropping due to progress in US-Iran relations, which implies a potential increase in oil supply and reduced geopolitical tensions, which is actually a bullish signal for the market.</t>
  </si>
  <si>
    <t>What is Russia's 'shadow fleet' of oil tankers?</t>
  </si>
  <si>
    <t>https://www.reuters.com/markets/commodities/key-points-about-russias-shadow-fleet-oil-tankers-2025-05-15/</t>
  </si>
  <si>
    <t>The sentiment is 'bearish' because the existence of a 'shadow fleet' of oil tankers, which is believed to be operated by Russia to circumvent international sanctions, implies that the country is attempting to hide its oil exports, which could lead to market uncertainty and downward pressure on oil prices.</t>
  </si>
  <si>
    <t>OIL.WTI gains 4% ðŸ“Œ</t>
  </si>
  <si>
    <t>https://www.xtb.com/cy/market-analysis/news-and-research/oil-wti-gains-4</t>
  </si>
  <si>
    <t>The sentiment is 'bullish' because a 4% gain in OIL.WTI indicates a significant upward movement in the price of oil, suggesting increased demand or supply disruptions, which is a positive development for oil producers and bulls in the market.</t>
  </si>
  <si>
    <t>Stock Market News, May 15, 2025: S&amp;P 500 Climbs; Walmart to Raise Prices Because of Tariffs - WSJ</t>
  </si>
  <si>
    <t>https://news.google.com/rss/articles/CBMihwFBVV95cUxNYnc0RWtwdlYtUFFncFBBZ2lpVXg0TEt3ZjdRQVFmVVBEZ1EwUjgxVmNXSUdIb0dCeHMxaHB4N2ZHbU1Ua3JncFVhaXhHNUlHRlpBWFVkQmxJa1VnbmRUTlBmYWpOWkdqb3I2al9pY1JxR0hIVTVjdVNnNEhOTjZSWm1FRU1yd00?oc=5</t>
  </si>
  <si>
    <t>The sentiment is 'bearish' because the mention of Walmart raising prices due to tariffs implies potential inflationary pressures and uncertainty in the market, which could negatively impact investor sentiment and lead to a sell-off in the stock market.</t>
  </si>
  <si>
    <t>The Price of Oil Has Always Been Both Personal and Political - Bloomberg.com</t>
  </si>
  <si>
    <t>https://news.google.com/rss/articles/CBMiswFBVV95cUxQMUwweEJDTkMxVzNaaXp5bHhoYl9sdXZlMkFZWnp4ZlRpbmlRMTVQaUZBaFRlUlBNTVRDQVlNM0lnRTBRS25ZZGNqZ1VQaERhcktUVUZYSzJ0Z2FBVHlqZTlFX1dnRE0xeV9lckplbURhZjNnM0tUcHNhU25nQUlBQzc5b3dFWS1MWlBvdlV4YmVuQXhNcnNiU2ctX3B4YTd1dTlqMnhKaHAyeEE4c0Z3V1Rocw?oc=5</t>
  </si>
  <si>
    <t>The sentiment is 'unrelated' because the headline does not express a clear opinion or emotion towards the topic of oil prices, instead framing it as a neutral observation that the price of oil has both personal and political implications.</t>
  </si>
  <si>
    <t>India's Oil Imports Shift Away from OPEC - Crude Oil Prices Today | OilPrice.com</t>
  </si>
  <si>
    <t>https://news.google.com/rss/articles/CBMiigFBVV95cUxOWVR4WGdZOHp5amJMVnZXOVZvVFhpR2tla29nNTkzOEpoVUZpbmpUTTJoSGR1dFN4RWhObmFyVEg0ZlJTeDVzcEhIeTl0eWJ2TG5zckpuNDhRQUFHbEU2eGk3NjZDVmp3Q2ZUU0FnRTZjRWJUUDQzLVA5cG0wN1habzFVWFZteGhHRFHSAY8BQVVfeXFMTkdBb2VYd2plNnNWMUVmaVBPQng5S2puUDFmWGptT1BxWm4tdEJ0Z0VNLWdlWU1NZTVndVFLV095YmRWX1Q4c1NqOUl2ZzczVGZDXzlLZDVrWFlsbHQxMlZPejVMV2l4VlQzREIzOG9ZQkhtQlRLQ0JTQ0puYlNMR2prUkdZY2NHZG1uR2wwN1E?oc=5</t>
  </si>
  <si>
    <t>The sentiment is 'bearish' because the headline suggests that India, a major oil consumer, is reducing its reliance on OPEC, which could lead to a decrease in demand for OPEC's oil and put downward pressure on global crude oil prices.</t>
  </si>
  <si>
    <t>Oil Marketâ€™s Missing Barrels Have Gone Up in Smoke - Bloomberg.com</t>
  </si>
  <si>
    <t>https://news.google.com/rss/articles/CBMipwFBVV95cUxPM0FiRlJtMC11eUJSY0ktN0NPZVY5bUFJVzdZSGE4UU5lVjhrZzcxZk5mLVJXQnJlN2tJVG0yenVzOThEdzRvUTJVLUxud3pGRHF5TWxNc05TVk1RZUExNXV6SWxjTkliY2lrMEcwQVFRWG9ZMkp3TXRzWWhqcWFURmJWc2NwVGp5czdvNG5MU1U5NEcyTVJHcUM2MzlIdE9vY1NiclQzTQ?oc=5</t>
  </si>
  <si>
    <t>The sentiment is not 'bullish' because the phrase "gone up in smoke" is a metaphorical expression implying loss or destruction, suggesting that the missing barrels are no longer available to the market, which is typically a bearish signal, not bullish.</t>
  </si>
  <si>
    <t>Oil prices settled down 2% on expectations for US-Iran nuclear deal</t>
  </si>
  <si>
    <t>https://www.reuters.com/markets/commodities/us-oil-prices-drop-more-than-1-inventory-build-raises-oversupply-fear-2025-05-14/</t>
  </si>
  <si>
    <t>The sentiment is 'bearish' because a potential US-Iran nuclear deal could lead to the lifting of sanctions, resulting in increased oil production and supplies from Iran, which would put downward pressure on oil prices.</t>
  </si>
  <si>
    <t>Global oil supply to rise faster than expected after OPEC+ hike, IEA says</t>
  </si>
  <si>
    <t>https://www.reuters.com/business/energy/iea-forecasts-global-oil-demand-growth-slow-650000-bpd-remainder-2025-2025-05-15/</t>
  </si>
  <si>
    <t>The sentiment is 'bearish' because an increase in global oil supply typically puts downward pressure on oil prices, which is a negative development for oil producers and those invested in the industry.</t>
  </si>
  <si>
    <t>Oil posts weekly gain but remains under supply hike pressure - Reuters</t>
  </si>
  <si>
    <t>https://news.google.com/rss/articles/CBMisAFBVV95cUxPT1BMS190LXdGV2xJNnN6bnV4S1k1OHNYQkRmYkllcFYwU250eEthZVBkWVp3WkVqdGFBSklMNmRiNEo1Uy03cUt0QkNVNjNXT3RSQ3J0X1IweHBuNHVYS1RPTkN1UlFBMGYtMjAzQXRRdV8tRTdBSXVHRERyYVIwZUtxNjJTREtqR1VaaWw4eDJRVjNsYy1PU3E1b3daZDZGc3JVVEdySVFyaHlLNUo0Mg?oc=5</t>
  </si>
  <si>
    <t>The sentiment is 'bearish' because the phrase "remains under supply hike pressure" suggests that despite the weekly gain, the market is still concerned about the potential for increased supply, which could put downward pressure on prices.</t>
  </si>
  <si>
    <t>Oil Set For Weekly Gain on China Trade Deal Hope - Crude Oil Prices Today | OilPrice.com</t>
  </si>
  <si>
    <t>https://news.google.com/rss/articles/CBMilwFBVV95cUxQZWZkU0FCYXZHMWZjc3QxUlRncy1UZUZsV1dKeTV1VDZrY0laQXNSMDdseW12c29DckotZER5RWpiUlQxQk5pZWpwRkZVNy12R2NVRmNXMm43V25aU1B4ZWltdlVnaENyVkJyZXNoZ0otUy1xb1FXcDR1VHBxTmNSTUFGcUJKMVBIRG0tY1AxYldBWGJOQmtv0gGcAUFVX3lxTE8wNDFOWmRPZnpFQno4MkJWMlB1LUNUMm9Qa0JhR1VPREdMQVA0ZjNBaEJSbHZDaVhtWVpSQzJUQTVWUW1XU0RmMURaZFg2NU9EUmNobWxHLW5tLTRsTjlmczJNdHpSMHZtdE12TVp0NFFZU0ZoT09fV0l6ZVRYLWxqcElaNUtHYmc5QUthTUs2LVZrTm03OHY2ZHVKMA?oc=5</t>
  </si>
  <si>
    <t>The sentiment is 'bullish' because the headline suggests that oil prices are poised to rise due to optimism over a potential China trade deal, which would likely boost demand and support crude oil prices.</t>
  </si>
  <si>
    <t>Russia Oil-Export Revenue at Lowest Since 2023 as Prices Slump - Bloomberg.com</t>
  </si>
  <si>
    <t>https://news.google.com/rss/articles/CBMiswFBVV95cUxPTVVmUFQwbWlUQmxpcU5kMTFMUlVjbk50cTBXSGJ0V1ZyMEpnY0pTU0FrMDZrYlUxYXd4LTg4dEZRQ2hGbURWSndPQUp3MnBLRG01U0swSG5PbjlVbGNuRXRUV2hzdWFhQWZoTFNXSHlxdkRkb2l6WVdsNExxdjRwOXh6MXBFaUtFRnRaaHhjd1Juam9HejF2RGRkSEl2RHl0bmY3NERISmZNNXMxNVpjQzROcw?oc=5</t>
  </si>
  <si>
    <t>The sentiment is 'bearish' because the decline in Russia's oil-export revenue indicates a softening of global oil demand and downward pressure on prices, which is typically a negative signal for the oil market.</t>
  </si>
  <si>
    <t>Oil falls after US crude inventories rise</t>
  </si>
  <si>
    <t>https://www.reuters.com/business/energy/oil-prices-hold-near-two-week-highs-trade-war-reprieve-weaker-dollar-2025-05-14/</t>
  </si>
  <si>
    <t>The sentiment is 'bearish' because a rise in US crude inventories indicates a surplus of oil in the market, which can lead to lower demand and downward pressure on prices, making the outlook for oil prices negative.</t>
  </si>
  <si>
    <t>Oil prices settled down 2% on expectations for US-Iran nuclear deal - Reuters</t>
  </si>
  <si>
    <t>https://news.google.com/rss/articles/CBMiwwFBVV95cUxOaE1aOEM2X0p0Ynh6Y2t2aVYtUG9SS19pMEFMTnZqdmJlREdSaGxDaUNnNzNuWGQtaHZWRDJ6SVFINUZ0Y2lDRzZnMmNHYi15Qnpmb1FGTnBqNzBobEc4Q1k4aU1oMkpOVE9ERVk2dElzVkFkd01faWlyZW8xVFFIUUxUM3FuX0htSVpTSXZPTkRzaW02NE5LaGlZUkR0dEZ2a21hUjEwUWxMY3NTaFQ2WjM2OUc0YWtsS1NpLVI5ZVg3Nkk?oc=5</t>
  </si>
  <si>
    <t>The sentiment is 'bearish' because a potential US-Iran nuclear deal is likely to lead to increased Iranian oil exports, which would add to global supply and put downward pressure on prices.</t>
  </si>
  <si>
    <t>Oil Prices Sink 4% on Hints of U.S.-Iran Deal - Crude Oil Prices Today | OilPrice.com</t>
  </si>
  <si>
    <t>https://news.google.com/rss/articles/CBMijwFBVV95cUxPQzhuVkJ6TnFTLWVwWE5NZlF0NHVkQ0V5ZHE4OU5fWS0yXzhGRWFtMzl3ZXFsanVuLXRKUjNfWjNZb0R4M2Exc0oxeGJ3SkhHQTBuRDRyVUlITGJNM1czc200bGJNdE1pYVE3SmVIY3NXRHI2TU1JWUpvOFY4SjlGTVhkT1o5Y0tiOHlqTmdZVdIBlAFBVV95cUxNcEF6SkRtS3pJUjV1UlZIU1hDaXVxd0FxLVNrY0pyLWlqWFhWanBUdGpnLV9KNkswS3FRdzBmOXdWLW9RYjJwZTdQYUJsVmV4SVY3bzQ3ZmRSOU5yVmFERmd2MV9SOFU5aGVtVngtZWtWQXpjaDk3bi1sTzB6NFJtR3F6dUFWY01iNlUtaXYxRnBqcy1Q?oc=5</t>
  </si>
  <si>
    <t>The sentiment is 'bearish' because a potential deal between the US and Iran could lead to increased oil supply from Iran, which would put downward pressure on oil prices, thus justifying the bearish sentiment.</t>
  </si>
  <si>
    <t>Oil Extends Drop as Trump Says US Is Closer to Deal With Iran - Bloomberg.com</t>
  </si>
  <si>
    <t>https://news.google.com/rss/articles/CBMingFBVV95cUxNc3hLRXpwUGlJM3dUdzFBb2xEdHhTQk01QkhmeXlaeXdMNU9DZkJVYWxqX0Y2VmhUc1VKT1lvU3BkMXRfcWJjMllFUVhqdGMyclhrWDRxMkNHLUNkYVFMNVYwNnQyVE53WmJJcDB2dFU0bm9aRUZ1V3FDaklKaHI3TTNnSjJPY2NWNjlWUTJEVTNCbExTc3dnSnRPZUw3dw?oc=5</t>
  </si>
  <si>
    <t>The sentiment is 'bearish' because a potential deal between the US and Iran could lead to increased Iranian oil exports, which would add to the global supply glut and put downward pressure on oil prices.</t>
  </si>
  <si>
    <t>Saudi oil price war looks like unspoken gift to Trump</t>
  </si>
  <si>
    <t>https://www.reuters.com/business/energy/saudi-price-war-looks-like-unspoken-gift-trump-bousso-2025-05-15/</t>
  </si>
  <si>
    <t>The sentiment is 'bullish' because a Saudi-led oil price war would likely benefit Trump by reducing energy costs for US consumers, bolstering the economy, and possibly improving his re-election prospects.</t>
  </si>
  <si>
    <t>North Sea Crude-Forties and WTI grades stable</t>
  </si>
  <si>
    <t>https://www.tradingview.com/news/reuters.com,2025:newsml_L1N3RM0XS:0-north-sea-crude-forties-and-wti-grades-stable/</t>
  </si>
  <si>
    <t>The sentiment is 'unrelated' because the headline simply reports on the stability of specific crude oil grades, Forties and WTI, without expressing a positive, negative, or neutral opinion, which is the defining characteristic of an unrelated sentiment.</t>
  </si>
  <si>
    <t>OPEC Gives Up Trying To Boost Prices. What's Next - Crude Oil Prices Today | OilPrice.com</t>
  </si>
  <si>
    <t>https://news.google.com/rss/articles/CBMilgFBVV95cUxNUWphcVBOSS1FOWhjVjY5bl9kRERKR0U3WHFtSGRYMFJpN1lqMFh5N0JwOHJIQVpLcC1CdFFiNDFoeUlkdFo2cGhzeU41VjEwQW9seUVnTmlKN2NNRmFBcEl4RTNDVDFYNmg1VXozaU5Ma0pjTUdfRnRQZHZWNHltanZFNjBEYnk3NUJ2RnhCM0hVLWFpWGfSAZsBQVVfeXFMT1pTdzhqa3VBWWRvdlc3d0tUeTRlZDVhNVdESHF4X0NGYWo5YkwxRUZIcTBNNzlGbW1hcXhHclNrVVE3TzAyc1NuM21sb0V5MVg0Y0lWcHlkV29lX3VrbUljdjdGUkdqdzJUTzRyQTVmckx1M2RvdFVVS0RTWm5NOFRyYnc3cmJLWjBhZW53dlg3cTFLQjhnNXpFZFE?oc=5</t>
  </si>
  <si>
    <t>The sentiment is 'bearish' because the headline suggests that OPEC's inability to boost prices implies a lack of control over the market, which could lead to further price declines, undermining the oil producers' efforts to support the market.</t>
  </si>
  <si>
    <t>Crude oil climbs more than $1.60 a barrel on tariff cuts, economic outlook</t>
  </si>
  <si>
    <t>https://www.reuters.com/markets/commodities/oil-prices-ease-off-2-week-highs-after-us-china-pause-tariff-war-2025-05-13/</t>
  </si>
  <si>
    <t>The sentiment is 'bullish' because the headline indicates a significant increase in crude oil prices driven by positive developments, including tariff cuts and an improved economic outlook, which suggests a potential surge in demand and a tightening of the market.</t>
  </si>
  <si>
    <t>Oil Steadies After Rally Fueled by Trade Optimism, Iran Remarks - Bloomberg.com</t>
  </si>
  <si>
    <t>https://news.google.com/rss/articles/CBMingFBVV95cUxNcURPR1lKcU00NUZCRkRPNlpUdUk0cGRGSkVINmhVSlpyVXhwVjF2alV2UWNxLWNfSlNuWHo4NTFuNGFyd0swWmwxNElyaEVkSHNZRVVkaXA5WG0yOGZiVVFjNnpSR2VZd25KZ3p6Yzk3Z0gtZkdkbWR0QlI1MnRybHplSEc3WmVibGJjWklzYXdWVTFkSTF3dWEtajhrdw?oc=5</t>
  </si>
  <si>
    <t>The sentiment is 'bullish' because the headline suggests that oil prices are stabilizing at a higher level due to positive developments on the trade front and geopolitical concerns, indicating a supportive market environment.</t>
  </si>
  <si>
    <t>Oil falls after US crude inventories rise - Reuters</t>
  </si>
  <si>
    <t>https://news.google.com/rss/articles/CBMivAFBVV95cUxQbFNIcktWd1QtczNlXzMtbkh6Y0w5UEt3Wi1IQ2loRExrTTZsVzczMGVGRDVJRWc2ZmlyS2dSaFlxSUlzcjRaVi0zODJLdDJudFB5b1hZN0MzYm9GY2ZKZ0tXbFc2Tk9sZU5MX3VXOWVtQ3g1UGlSZzZaaHY0bUlXTUxBVkE1ZnRKNkdVUDNidEt0R1EwSkxhTDVHX3ZnckszcURfdWJ2MmVDZUszZnAyY0dIQWt1Tkp2SW5MQQ?oc=5</t>
  </si>
  <si>
    <t>The sentiment is 'bearish' because a rise in US crude inventories suggests a supply glut, which tends to put downward pressure on oil prices, hence the fall in oil prices mentioned in the headline.</t>
  </si>
  <si>
    <t>Brazil's Petrobras sends austerity message amid lower oil prices</t>
  </si>
  <si>
    <t>https://www.reuters.com/business/energy/brazils-petrobras-revise-strategic-plan-due-lower-oil-prices-2025-05-13/</t>
  </si>
  <si>
    <t>The sentiment is 'bearish' because the article implies that Petrobras, Brazil's state-owned oil company, is taking austerity measures in response to lower oil prices, which suggests that the company is expecting a sustained period of low prices, negatively impacting its revenue and profitability.</t>
  </si>
  <si>
    <t>OPEC expects slower 2025 oil supply growth from rivals after price drop</t>
  </si>
  <si>
    <t>https://www.reuters.com/markets/commodities/opec-expects-slower-2025-oil-supply-growth-rivals-after-price-drop-2025-05-14/</t>
  </si>
  <si>
    <t>The sentiment is 'bullish' because OPEC's expectation of slower supply growth from rivals implies a reduced threat to its market share, which could support oil prices and benefit OPEC's member countries.</t>
  </si>
  <si>
    <t>Oil Bulls Balk At Surprise Crude Oil Inventory Build - Crude Oil Prices Today | OilPrice.com</t>
  </si>
  <si>
    <t>https://news.google.com/rss/articles/CBMirAFBVV95cUxNVTJRYVZNRXJ2a21GcUxIQkEzTl9ocXg0VEtwY2h6djVPWTRfOE5kQk40SWRqcWxrNWt0MDQyaDZTV3FIcERlUVpmbWFmclFBWE11Z3NsRFJNUlJkN0lTaVhINjhwMjlOU1pkN0RaY04waS1hSDFYQmRVclduQ2NLVk5WZmJINldBN2pXNVZrd0J5QXA1dmZKRDBRSHZuQ0lBTXZJZzNYcGVoQ3A40gGyAUFVX3lxTE5talRQSnc4aTF0Q3N3V01oa01rdDExeldianR2Z3kwMWlVUTgzakxYdzB0a3EwajBTSDk4eld2NEc2bm9TUGFDREl1allhY2E0MFloYnN4cG9tdDFFQmdvU0JYaXJISnhsZTJRd3dlRFl3TjVDbnphTHQxaWF2VHhjM1hWS2VuTWFZTUtqREJSQ1RSMFFodEJDb2tYaTlBRjNVM3gxcTdBaG9RRlJ4RUdEUUE?oc=5</t>
  </si>
  <si>
    <t>The sentiment is 'bearish' because a surprise crude oil inventory build suggests that supply is outpacing demand, which puts downward pressure on oil prices and is typically seen as a negative indicator for the market.</t>
  </si>
  <si>
    <t>Oil prices settle up at 2-week high as US, China ease tariffs</t>
  </si>
  <si>
    <t>https://www.reuters.com/markets/commodities/oil-prices-rise-us-china-trade-talks-soothe-market-jitters-2025-05-12/</t>
  </si>
  <si>
    <t>The sentiment is 'bullish' because the easing of tariffs between the US and China, two of the world's largest oil consumers, is likely to boost demand and reduce uncertainty, leading to a increase in oil prices.</t>
  </si>
  <si>
    <t>Oil Steadies After Trade-Deal Gain as Focus Turns to Middle East - Bloomberg.com</t>
  </si>
  <si>
    <t>https://news.google.com/rss/articles/CBMingFBVV95cUxObUFYa3kyLTlrUk82UWRmblkwbnByY0NhMWxUOFpRVkp4OWVXQ3c2em0xTzJHUXdOSVAzeXh5alNiRHVDal9CbzZ0LXBBSGFUYXBnTGVCbXBJOVA0ZUpRRlBhanBscVlkYm94RGd6U3BJeExEc1RFS0lUajh2aTJ1QVl1RXVCcHg0b3BzbHpfY2FMUUlUSDRtQ2ZpS196dw?oc=5</t>
  </si>
  <si>
    <t>The sentiment is 'neutral/uncertain' because the headline suggests that oil prices have stabilized after a initial gain following the trade deal, but the ongoing focus on the Middle East implies that there are still potential risks and uncertainties that could impact the market, leaving the overall outlook unclear.</t>
  </si>
  <si>
    <t>WTI extends winning streak on US-China trade truce</t>
  </si>
  <si>
    <t>https://www.financialmirror.com/2025/05/13/wti-extends-winning-streak-on-us-china-trade-truce/</t>
  </si>
  <si>
    <t>The sentiment is 'bullish' because a trade truce between the US and China, two of the world's largest oil consumers, is likely to boost demand and reduce concerns about a global economic slowdown, which would support higher oil prices.</t>
  </si>
  <si>
    <t>Crude oil climbs more than $1.60 a barrel on tariff cuts, economic outlook - Reuters</t>
  </si>
  <si>
    <t>https://news.google.com/rss/articles/CBMivAFBVV95cUxPZ3lFaExsMGRFeU5SWk1STG1LRERYcGNZVndzWFJfaFBzQU5NNGt1dHVMZk5kSjFsdHFudHp2T1FaSDQta1dpWVBOZ3o1ZzNqMmlPYXlHak03ZGppb2dyanc2dWdTdlNtdHFvazR2R0RTQTBYeXdwd1oySXNqOV9kYXU4N0E2MmtQSzhqVGc4aHVGZWdZa05jQmtCM3l5bjlhSTVwdEtBbkZTWVFMQmhJZm9NX29SbGlkWTdtMQ?oc=5</t>
  </si>
  <si>
    <t>The sentiment is 'bullish' because the headline suggests that crude oil prices are rising due to positive developments, specifically tariff cuts and an improving economic outlook, which are typically supportive of higher oil demand and prices.</t>
  </si>
  <si>
    <t>Russian central bank sees oil prices stabilizing at $60 per barrel</t>
  </si>
  <si>
    <t>https://www.reuters.com/business/energy/russian-central-bank-sees-oil-prices-stabilizing-60-per-barrel-2025-05-12/</t>
  </si>
  <si>
    <t>The sentiment is 'bullish' because a stabilization of oil prices at $60 per barrel suggests a floor for prices, which could provide a boost to oil producers and support the overall energy market.</t>
  </si>
  <si>
    <t>Asia Buys the Dip in Oil - Crude Oil Prices Today | OilPrice.com</t>
  </si>
  <si>
    <t>https://news.google.com/rss/articles/CBMidkFVX3lxTFA1TDJQTFNlZ3BqdjI4N2k2ckZMeHRHb1MxM2ZmNkJfdXJqbVN3UlR0RElPVzdRTlZtZTdQOXVmUjlrcks1T1ZfRGRJbHk3TVNsMVJmMl9ieTZzMVJPckpzTGNPOFNMM0VYS3NsN3YwVmt5LWJMNVHSAXtBVV95cUxPSTZxaEJNWlBJb0p6X2twWnpXX1VtSHlNY29SRjdrbEEwM1V5MC1Fc1BTRFd6SUlRZE1GTk9uMWREd0Ftb2NtNHBUajhZeWF2aG1vZmxkMkhINWRhWHlUemtheFpVVGtNR2xFTWY0V0RlR3dKZ0ZOckJIamM?oc=5</t>
  </si>
  <si>
    <t>The sentiment is 'bullish' because the headline suggests that buyers in Asia have stepped in to purchase oil, which implies that demand is strong and prices are likely to rise or stabilize, rather than continue to fall.</t>
  </si>
  <si>
    <t>Oil prices settle up at 2-week high as US, China ease tariffs - Reuters</t>
  </si>
  <si>
    <t>https://news.google.com/rss/articles/CBMitAFBVV95cUxOdlZJTEdWbE1UdnBXNGxvN3FmcW9lMDU2Q0ZTbVA0NXlRTG5yNmNjdUNuNUowZThXWTFaT3Z5WGhuVDlkbk9nOEQzUVQ2OXZ3RGhEMUZuWDBnY0NqX2dZby1KVnlhRUY2TjJSd1lKMVI2elQ0ZTVUSml4M19aLUN5LWhQV2h1ZWpic0p4WXE4dDE0SzUzMlpVVVBpMHJseDVvdGViUWVId1Z6cFNyZ2FsSjBlUWg?oc=5</t>
  </si>
  <si>
    <t>The sentiment is 'bullish' because the easing of tariffs between the US and China, two of the world's largest oil consumers, is likely to boost oil demand and support prices, hence the 2-week high settlement.</t>
  </si>
  <si>
    <t>The Real Reason China is Buying More Oil - Crude Oil Prices Today | OilPrice.com</t>
  </si>
  <si>
    <t>https://news.google.com/rss/articles/CBMiiwFBVV95cUxOeFFPenk4M01LNEVXTUhpQmpzTld5QUdQajBjbW54M2hRRHdXbHZ4Q3RzUXRXNmMwT1dPM3IxSkN5NUdYaFVTOEd5cXBUd0pVNUNDR2t1MnkwZ3RmbTRGOGtUa1ZXRTQxdnhVb3dzWkFXc1VYaEFpcHNzZjVZelRxdXEzWlhDRE9pWXo40gGQAUFVX3lxTFBWMWJBZ3haWkEyM1dVZXlLY3dKOHNNMDU0UU1jU3N5T2ZBUy1kbFMwbTM1M0hwTXFVRUhXWXc4c1laY0NHUnhSc3pSeXNUUWtueHIwOXFrQ1JnSndVQlg4blJaUkpzclg4a2ZBQ3dnMWdCYTRkLV9HZHp4dTB6MnNuRVJOQ1NlbURMOVhvWTVDVw?oc=5</t>
  </si>
  <si>
    <t>The sentiment is 'bullish' because the headline suggests that China's increased oil buying is driven by a strong underlying demand, which could lead to higher crude oil prices, benefiting oil producers and investors.</t>
  </si>
  <si>
    <t>Opec+ calls time on attempts to boost oil price as Trump visit looms</t>
  </si>
  <si>
    <t>https://www.ft.com/content/2ee02b71-320b-4ecd-9494-be2cd5a31622</t>
  </si>
  <si>
    <t>The sentiment is 'bearish' because the article suggests that Opec+ is abandoning efforts to support oil prices, implying that the organization is no longer willing to restrict supply to prop up the market, which could lead to a decline in prices.</t>
  </si>
  <si>
    <t>China's recovery in crude oil imports is more bearish than bullish - Reuters</t>
  </si>
  <si>
    <t>https://news.google.com/rss/articles/CBMixAFBVV95cUxQQm5zSjV5UFpYcDFrOGVvbGRlVkRJUlhjVENXcnI0NFJmc0hnbWVNZE1BM2VwY3hIdDI3UDBYMGJTaERfNjZLdmpGLUcyT0hzeVNwUFN4NmhUal9qWkRzQXVtMmZ2c3dtazFoQUMwR2p1bUNHSGZtTUZhNXBHSmlGOE5fNEtsVVhPSVI4bVVvYVRTeW5hbWlyZmpDZGZ1WFpfWDdQNDVHWG9rS1pFZG5xeUx0a2NVQzF6cU9xNUJ6elQxSlk3?oc=5</t>
  </si>
  <si>
    <t>The sentiment is 'bearish' because a recovery in China's crude oil imports, a key demand driver, failing to boost the market suggests that the fundamental issues weighing on prices, such as supply glut and slowing global economic growth, are more significant.</t>
  </si>
  <si>
    <t>Oil Prices Surge As U.S. and China Agree to Tariff Cuts - Crude Oil Prices Today | OilPrice.com</t>
  </si>
  <si>
    <t>https://news.google.com/rss/articles/CBMingFBVV95cUxPNWlxQ0FOd2tqVTVmLU1fUTFheWRuamsySGlQVTFoY3hyc1MyRGd3Q3BSWnNaSGM0WUp3Y0UwY3RQQ2dvd1Axd0xWT1NRS2JUSXh1WENHZk92RTdOazFrZlFKOTNHQTQzbjhtTjJkWlpXLWFFRVVTbDdtODBQWTJkNS1EU0V2bUt1N2hIbDVDYmV5ZUpHQ2dWMFVmQTdYQdIBowFBVV95cUxNa2liRnBhZmw5U1dKbDgtUEU2TGdJeVVnV2hJcVh4bjhOdVdmTFZxREdQMk9RMHpTdHJfemRtN3RycTRKOEZtb2lTcXZPRVFFYnp4Tjl4NVJiNEFOSUtyaWRfOHhJcl92Q1JMSy1rdVBZWEJhc2RRb09ReVRrUHA0aV9IVkZNb3hEdURKRHZwT3hHNDhkaFI0VUJFLW14d0hEOFk0?oc=5</t>
  </si>
  <si>
    <t>The sentiment is 'bullish' because the agreement to cut tariffs between the US and China is likely to boost global economic growth, increase demand for oil, and subsequently drive up crude oil prices.</t>
  </si>
  <si>
    <t>Aramco profit drops as uncertainty hits oil markets</t>
  </si>
  <si>
    <t>https://www.reuters.com/business/energy/aramco-reports-drop-first-quarter-profit-2025-05-11/</t>
  </si>
  <si>
    <t>The sentiment is 'bearish' because a drop in Aramco's profit implies a decrease in demand or a surplus in supply, which is often a sign of weakness in the oil market, leading to a negative outlook.</t>
  </si>
  <si>
    <t>US oil and gas rig count falls to lowest since January, Baker Hughes says</t>
  </si>
  <si>
    <t>https://www.reuters.com/business/energy/us-oil-gas-rig-count-falls-lowest-since-january-baker-hughes-says-2025-05-09/</t>
  </si>
  <si>
    <t>The sentiment is not 'bullish' because a decrease in the oil and gas rig count, which indicates reduced production capacity, would typically be viewed as bearish for oil prices, as it implies lower supply and potential downward pressure on prices.</t>
  </si>
  <si>
    <t>Oil prices post weekly gains on US-China trade talk optimism</t>
  </si>
  <si>
    <t>https://www.reuters.com/business/energy/oil-prices-little-changed-ahead-sino-us-trade-meeting-2025-05-09/</t>
  </si>
  <si>
    <t>The sentiment is 'bullish' because the headline suggests that oil prices are rising due to optimism around US-China trade talks, implying that a potential resolution to the trade tensions could lead to increased demand and higher prices for oil.</t>
  </si>
  <si>
    <t>Oil Gains as Traders Focus on US-China Trade Talks After UK Deal - Bloomberg.com</t>
  </si>
  <si>
    <t>https://news.google.com/rss/articles/CBMinAFBVV95cUxNMURvc01ZMEVVOW8wUXpBeFJ2eXlINnk5aVlmdEtCV09xNFR4Zm0tTF8zNEg0WUVRQUtaWE9mUmFCZUs1Yk5PcGMwRHpBTzJzblg4TnZMazRvN1JqZ1FCanB6Z2FEQzFhZUhpbS1KOVhqOWh6M3MxR3UwOFhhLXBjQlgzRHROOE1zYUdSWlZpZmRENlVxUXNOc0JoZkk?oc=5</t>
  </si>
  <si>
    <t>The sentiment is 'bullish' because the headline suggests that oil prices are increasing as market participants are optimistic about the progress of US-China trade talks, which is a positive development for the global economy and oil demand.</t>
  </si>
  <si>
    <t>Oil Prices Hold Firm on Trade Talk Optimism - Crude Oil Prices Today | OilPrice.com</t>
  </si>
  <si>
    <t>https://news.google.com/rss/articles/CBMilgFBVV95cUxNQjlWY3c3blQyWXBUZWVlRXRuNU51TEhHcWk4ejdPRWxEczg5QmduVFR2LW5wa2xqYTR5bllHRWhyUXdKbGZqSnFLOWM2THpjTHJoWHY4dUZGVXZEOHFvaXZvY0dmbkw2ZEpxS3hJd28zaUhseGpGVWVheFJZN3paTkQzdFVIaG9yUURBVUV0NHV6QXJRY3fSAZsBQVVfeXFMTURMVkVaSmFLWWZSNXBUa0F6ZV8zLVhHU2tLZ3JsYUZ3Rl9FTWh4d2RPVXp0T3JmYXpuQW1WUVdWQkZHZHcwV00zcjlCSFZNYkV1blE3ZHp2dWxBdlB2ZTN3MWFUdWRsLXRCTWdFOGtORV9VT00ySEg3ZHRkQXlPMXBTbEZJT2d2Q3JMTkJFdzNvUGFCbVN2X1V3R1U?oc=5</t>
  </si>
  <si>
    <t>The sentiment is 'bullish' because the phrase "hold firm" implies that oil prices are steady and resistant to decline, suggesting a positive outlook fueled by optimism surrounding trade talks, which could lead to improved global demand and higher prices.</t>
  </si>
  <si>
    <t>Oil prices rise 3% on support from US-China trade hopes</t>
  </si>
  <si>
    <t>https://www.reuters.com/markets/commodities/oil-prices-steady-after-dropping-economic-uncertainty-supply-concerns-weigh-2025-05-08/</t>
  </si>
  <si>
    <t>The sentiment is 'bullish' because the headline suggests that the recent uptick in oil prices is driven by positive developments in US-China trade relations, which is a key indicator of future demand growth and thus supports a positive outlook for the oil market.</t>
  </si>
  <si>
    <t>Oil prices post weekly gains on US-China trade talk optimism - Reuters</t>
  </si>
  <si>
    <t>https://news.google.com/rss/articles/CBMiqAFBVV95cUxQaXpCbmxaSVdqR29JemU0RFc1Zk1OUWlfR2w2Y0UwMmttN0JPOEJza1VobC1UNVRuUE1wSHhRMW53cDFpQklKS09QUjdEVXhDTkVPakZQUmtPVG5aaUUtc0JJalU4b2FQZkxDNXp2MVdYaGU4Yy1xTG02NlpsUlFSYXZTUlBzUmszNVJKTzdXWXBqN0FXY05hWUE1WVVlRFYxdWpEUUJ0RVE?oc=5</t>
  </si>
  <si>
    <t>The sentiment is 'bullish' because the optimism surrounding US-China trade talks is driving up oil prices as a potential resolution to the trade dispute is expected to boost global economic growth and subsequently increase oil demand.</t>
  </si>
  <si>
    <t>Oil Jumps on Trade Deal Optimism - Crude Oil Prices Today | OilPrice.com</t>
  </si>
  <si>
    <t>https://news.google.com/rss/articles/CBMiggFBVV95cUxPOVBKUWl6YUYxNnFtT1F3Wjc1bGctaEpZNWpEcXVrY0NkLTVIQ2VscFJwaFBRYzV6M1Nna3d3WFJxeGZkM1UxRTRFU094dWF6QXgxOFlCcThYdG9jbWV4MEFVdEZtM3dUS1NQdXhQaUZrbXBkeWtGcE5rT1ZEVVVnNG9B0gGHAUFVX3lxTE5VSWVDd0J2R0lTZWF0N0gzdXYxbUVzeVloTFNXNEJEcEZvSDRuSloyRk14Z01XZFJadFBFM1hVNGJWWDNZZ0hBNllPbWZ4cGpRSlBMbWxkUk1YOVpQU191dF9vdXJMNVFGY055QkgyajVTakZXTTk4dnhmNWpDc2UzQnlxcmtXYw?oc=5</t>
  </si>
  <si>
    <t>The sentiment is 'bullish' because the headline suggests that oil prices are increasing due to growing optimism around a potential trade deal, implying that the market is expecting a positive outcome that will boost demand and support prices.</t>
  </si>
  <si>
    <t>Oil prices rise 3% on support from US-China trade hopes - Reuters</t>
  </si>
  <si>
    <t>https://news.google.com/rss/articles/CBMiywFBVV95cUxQVmk3eS1QMTdPQU5Gdm1PSERPWVpEMWpJMVJoVkthVGhSY2JvYVRzZ28xSXVVR0V6N3F2cm02cEpGLUUwaEJ1SElNLUh0ekE2YkxLTmlHRmtoaldVRTlhRTBrX0JNU09PUXFHdVl4bHg1N05TVGVnNU1tYTBtLTJOQ0IxbTdocUNKUHFWQWl4UkFFdW9Vek9JMG9CeVFvamdfVXV3UEktcjBxTnV2TzB0RVowdkFTel9fQzRyTWlLUlRNMlo1WU1QS19fYw?oc=5</t>
  </si>
  <si>
    <t>The sentiment is 'bullish' because the headline suggests that oil prices are increasing due to positive developments in US-China trade relations, which is a key factor in boosting global economic growth and, consequently, oil demand.</t>
  </si>
  <si>
    <t>Refiners Defy Oil Price Slump With Strong Q1 Profits on Solid Margins - Crude Oil Prices Today | OilPrice.com</t>
  </si>
  <si>
    <t>https://news.google.com/rss/articles/CBMiwwFBVV95cUxNR3I1dUJ4cHpzQTlPV0JaQllydVhsd0xZOV9wZFdHZ3o1cGwxN1VIV0w0MmUtS0RXeTN1SEEwR3Z4ZUp0ZFF3UmJZdzNTTWtfU1VFUllBLTFQRWZNQmVfUmNJUEI5SDdFY1ZmSTFHMmRmSzl2RVRJMGZnSUtPS0RwOEcxTUpZSjBsRUM2MzU5WThkVWFLQzlEb21WZFM4cDRwVVp6WmZPNVVOOXJHa0k4Z3EyNVRYNEVtclVVNU9ONzd5OXfSAcgBQVVfeXFMUExCdmNFaDMtYlRMb1lRTEF4Vk1aUlN3QWZBMnR6elJNVGRoR21PdEdGOW1YWW5rSFlfSHBGektuaWJqbzNNcDRZQzR0Z3BuWHNJWmVCTTNEcHNzWXNTcUlydlBQTmJSS05CS1AwMV9Iak50SGswUVhqeGthQ0F1SnBzUjk3QWszT0ZlOHlpMnBKUkV4Ylh3YWlzYlNaWXZMOERhM2NIdkl3bnM1SGtsRWpHLVhWMDdYQUtRZHVIVUJyb2dELXltN1Y?oc=5</t>
  </si>
  <si>
    <t>The sentiment is 'bullish' because the strong Q1 profits of refiners, despite the oil price slump, suggest that the industry has demonstrated resilience and adaptability, implying a positive outlook for the sector.</t>
  </si>
  <si>
    <t>Tight Now, Loose Later Oil Futures Flash Warning - Crude Oil Prices Today | OilPrice.com</t>
  </si>
  <si>
    <t>https://news.google.com/rss/articles/CBMilgFBVV95cUxOaVdNREF4Y3BkOFlKRjZzNEdHeXRNQ1dQckVNbnlVVklzS0M2ZGxvQ0ZNRk15VmxXeGhHZUkyQ0hSWWlEdEEzcDFUUVExVHVJTGhGZXdCZDNfOHZRc3JLc0lEM0Fqd0t3Zk1HbzU4WUZRSHVzeE1LYzJuNHVOZnByaHhqLXlhdENhVXc1Q0lWWWNBdERtZ3fSAZsBQVVfeXFMUGd1UW5LaXNzdkFEWlZvcWZQYlpJMWVrZGx6WFlucTNaclB1WlZITVVLajlCSnZ2RGE0YVFmelViZHQ0MnZoOHBXeWpqQTBTV25YZURBQ0E5bWFac1ZtVV9BbnpvWHBFQkpxb3JlSUlyczltcVNmS3NKZFdKWHEtSklZNHF4QVJpTFNZckJrTDFuS0xKb0VSMk1DLVk?oc=5</t>
  </si>
  <si>
    <t>The sentiment is 'bearish' because the phrase "Flash Warning" suggests that the current tight market conditions may be a precursor to a subsequent loosening, implying a potential price drop, which is a bearish outlook for crude oil prices.</t>
  </si>
  <si>
    <t>One of Warren Buffettâ€™s Last Big Bets Is Souring - WSJ</t>
  </si>
  <si>
    <t>https://news.google.com/rss/articles/CBMinAFBVV95cUxOWVY3SWZBODR0dXVPQW9LV2g4Yl9TcDNudnV3NFNuc3djY1hUd2JMcF9QU0pNbFpfSHlreVJUSS1VOXNJQXQySDFwMmxEaC1reEh5QVpncER2ZzJsZXEtVFU4cm5mbHpldVh1S2x5ZlowV1VvWktPb0dmN3hjYkVCLWxhYWgzUGxCdVNqMS0yUlpocmpwU2xOUXV3MC0?oc=5</t>
  </si>
  <si>
    <t>The sentiment is 'bearish' because the headline suggests that one of Warren Buffett's significant investments is not performing well, which could imply that even one of the most successful investors in the world is struggling to make profitable moves, thereby casting a negative light on the market.</t>
  </si>
  <si>
    <t>Oil Holds Decline With Market Focused on US-China Trade Talks - Bloomberg.com</t>
  </si>
  <si>
    <t>https://news.google.com/rss/articles/CBMinAFBVV95cUxNcy1fdEZYcUtDWTZobHpfdWJkVUx4WDF1cTVURWRkaHQ4Zk52bko1TXNWdnBhc3FhVE45SUNMQ1F4d0lsSGdaN3h2YXQ1LU5ZQUxOUWpNR0Q4MUpzUWlJT240aW9hamZqNDc4RFdFOVlzT2FQYlB2RW5DeS1HZmlwQmhFeUItWkxLR3dad2R3NGRNZW9rNG10Vm9wYzU?oc=5</t>
  </si>
  <si>
    <t>The sentiment is 'bearish' because the headline suggests that the market is focused on the uncertainty and potential negative outcomes of the US-China trade talks, which could lead to decreased demand for oil and downward pressure on prices.</t>
  </si>
  <si>
    <t>Oil settles lower as hopes dim for US-China trade and supply worries ease - Reuters</t>
  </si>
  <si>
    <t>https://news.google.com/rss/articles/CBMirAFBVV95cUxNMnlCMlRDcmVpUVltX0tsMEVqN0xxa0ZNUjVZUUNOaVpETmRIUld6QmRVNUZMUkp1aUVPOFJPUlRyOHdCd1dxX0g1dEFySXlfaXB6YnltVUxvaTBXQ0RDeEVFMDQwdm8yeXFaeTZPUFVUWTNXZmtjMVozZGFyTkYxNjJCXzA0NGhrSHlyUEFwZWhFcTRkc0FyaU9QZTRqMTFnOXVYLTJKOV84b2s2?oc=5</t>
  </si>
  <si>
    <t>The sentiment is 'bearish' because the headline suggests that the oil market is experiencing downward pressure due to fading optimism over a potential US-China trade deal and easing concerns about supply disruptions, which would likely lead to lower oil prices.</t>
  </si>
  <si>
    <t>Stock Market News, May 7, 2025: Dow, Nasdaq Rise After Fed Holds Rates Steady - WSJ</t>
  </si>
  <si>
    <t>https://news.google.com/rss/articles/CBMiggFBVV95cUxOMGlWUTBBbFlHUjV0UWxlWVlMWEJzNHc5N0tPT3Y5V20wdklMQ1R3cTZuZ0U4RmF1S05JWm5EVHYwdVV4UGMxQklBMlRVVUZ6Y1JvMEVIMGFLWUJZc3Q4UHFiODQ5azBCZG15djhJV05uNjA5ZTBLR21uTHhQWTFBdEh3?oc=5</t>
  </si>
  <si>
    <t>The sentiment is 'bullish' because the Federal Reserve's decision to hold interest rates steady is likely to inject liquidity into the market, boosting investor confidence and driving up stock prices, particularly for equities sensitive to monetary policy.</t>
  </si>
  <si>
    <t>Oil rises 3% on signs of more Europe and China demand, less US output</t>
  </si>
  <si>
    <t>https://www.reuters.com/markets/commodities/oil-steadies-after-falling-four-year-lows-previous-session-2025-05-06/</t>
  </si>
  <si>
    <t>The sentiment is 'bullish' because the combination of increasing demand from Europe and China, two significant oil-consuming regions, and decreasing supply from the US, a major oil producer, suggests a tightening of the market balance, which typically supports higher oil prices.</t>
  </si>
  <si>
    <t>Higher OPEC+ output, tariff uncertainty raising oil price volatility, EIA says</t>
  </si>
  <si>
    <t>https://www.reuters.com/markets/commodities/higher-opec-output-tariff-uncertainty-raising-oil-price-volatility-eia-says-2025-05-06/</t>
  </si>
  <si>
    <t>The sentiment is 'neutral/uncertain' because the headline presents two opposing factors influencing oil prices, namely higher OPEC+ output putting downward pressure on prices and tariff uncertainty potentially driving prices up, which creates ambiguity and uncertainty about the overall impact on oil prices.</t>
  </si>
  <si>
    <t>Colombia's Ecopetrol plans cost cuts as lower oil prices bite</t>
  </si>
  <si>
    <t>https://www.reuters.com/business/energy/colombias-ecopetrol-plans-233-million-cost-cuts-lower-oil-prices-bite-2025-05-07/</t>
  </si>
  <si>
    <t>The sentiment is 'bearish' because the headline suggests that the company is being forced to take cost-cutting measures in response to lower oil prices, implying that the current market conditions are negatively impacting its financial performance.</t>
  </si>
  <si>
    <t>U.S. Crude Oil Stockpiles Fall Amid Lower Production - WSJ</t>
  </si>
  <si>
    <t>https://news.google.com/rss/articles/CBMiogFBVV95cUxQc3hZMkNKeG5fYjR0SHpZajJScE41UkxUeVFpb3RqVjVoMm9BNHNZQWpnOThzTm9FbWhmYnIxVExsZWNEd3JVWENaTnhWTWdpTkVLLXBGZjhzV3E4dzdydGFGVnZ1aHkzeEdRT3V1U2pZa2c0bmxBSE9XMVdGQjBSQmtQUlBBeVhrTmllbmVTeTVCdDJ6cHNuX3VLWmUxLUFiSGc?oc=5</t>
  </si>
  <si>
    <t>The sentiment is 'bullish' because a decline in U.S. crude oil stockpiles, driven by lower production, suggests a tighter supply-demand balance, which can lead to higher oil prices.</t>
  </si>
  <si>
    <t>Trump says with lower oil prices, Putin is more eager to settle the Ukraine war</t>
  </si>
  <si>
    <t>https://www.reuters.com/business/energy/trump-says-with-lower-oil-prices-putin-is-more-eager-settle-ukraine-war-2025-05-06/</t>
  </si>
  <si>
    <t>The sentiment is 'bullish' because lower oil prices would reduce Russia's revenue and therefore its ability to finance its military operations, making Putin more willing to negotiate a settlement, which could lead to increased oil supplies and downward pressure on prices.</t>
  </si>
  <si>
    <t>Russia's oil price in roubles at two-year low, 40% below budgeted level, data shows</t>
  </si>
  <si>
    <t>https://www.reuters.com/business/energy/russias-oil-price-roubles-two-year-low-40-below-budgeted-level-data-shows-2025-05-06/</t>
  </si>
  <si>
    <t>The sentiment is 'bearish' because a 40% drop in oil prices below budgeted levels suggests a significant revenue shortfall for Russia, which could have negative implications for the country's economy and the global oil market.</t>
  </si>
  <si>
    <t>Oil rises 3% on signs of more Europe and China demand, less US output - Reuters</t>
  </si>
  <si>
    <t>https://news.google.com/rss/articles/CBMitAFBVV95cUxQV2JrcTlsUjFod1VocVFYb0RuOGptUktHSmZ5dlMtMTRBUWFHbHJBLXpzeW44R0hhUzRKbnFlSnItY2hfdVd2eV9nY0NxZ2kySUVMMG9fcW1MaHlmSEEyN253VjZ4MVp2QS1Tc2sxeVBxZ0pZY2pOR3RPNFVpZmV6NnI3YWFJa3BwNEk1TVBLUFRxOGhWVkFwYnRWUEg5OTJKV0dRaTFER2V2ZlJYM3ByVlMzekY?oc=5</t>
  </si>
  <si>
    <t>The sentiment is 'bullish' because the headline suggests an increase in oil demand from key regions such as Europe and China, combined with reduced output from the US, which implies a tighter market balance and upward pressure on prices.</t>
  </si>
  <si>
    <t>Oil ends at four-year lows as OPEC+ accelerates output hikes</t>
  </si>
  <si>
    <t>https://www.reuters.com/markets/commodities/oil-falls-more-than-2bbl-opec-set-accelerate-output-hikes-2025-05-04/</t>
  </si>
  <si>
    <t>The sentiment is 'bearish' because the acceleration of output hikes by OPEC+ implies a surge in global oil supply, which would likely exert downward pressure on oil prices.</t>
  </si>
  <si>
    <t>US oil output has peaked amid price fall, top shale producer warns</t>
  </si>
  <si>
    <t>https://www.ft.com/content/9e9192ba-02f1-4034-aaf0-200270d0f6d7</t>
  </si>
  <si>
    <t>The sentiment is not 'bullish' because a peak in US oil output and a price fall are typically bearish indicators, suggesting a potential supply glut and downward pressure on prices, rather than a optimistic outlook on the market.</t>
  </si>
  <si>
    <t>Breakingviews - The heart of the US oil boom is slowing</t>
  </si>
  <si>
    <t>https://www.reuters.com/breakingviews/heart-us-oil-boom-is-slowing-2025-05-05/</t>
  </si>
  <si>
    <t>The sentiment is 'bearish' because a slowdown in the heart of the US oil boom suggests a decline in oil production, which could lead to reduced revenue for oil companies and potentially negatively impact the overall oil market.</t>
  </si>
  <si>
    <t>US Cut Forecast for Oil Output Before Crudeâ€™s Latest Plunge - Bloomberg.com</t>
  </si>
  <si>
    <t>https://news.google.com/rss/articles/CBMitgFBVV95cUxOcktvZTZKNER4alhJcnlraXpwd2lfVGVWb3E0cXVuQnRLVFMwVEoyLVM5dVY0d3R2Zkl1MkNxeDR0M2JDYk1lWnQ2VjFfMkdBcFRPNGFxLTVNX3owSDVhRVhNMGVFa2R0OXhLZnlURHNKTzU2N0tuZXJQcEZxazVuOHdMM1VDNi1ScUcxZE9KZUFGMFVhTjdVaDdoQ1lvdzRldXZid3NrVjU3M04zcDZIek5KN2pOdw?oc=5</t>
  </si>
  <si>
    <t>The sentiment is 'bearish' because a cut in forecasted oil output implies a potential reduction in supply, which, combined with the recent price plunge, may indicate a further downward pressure on oil prices.</t>
  </si>
  <si>
    <t>Oil price crucial for Russia, but national interests come first, Kremlin says</t>
  </si>
  <si>
    <t>https://www.reuters.com/business/energy/oil-price-crucial-russia-national-interests-come-first-kremlin-says-2025-05-06/</t>
  </si>
  <si>
    <t>The sentiment is 'bearish' because the Kremlin's statement implies that Russia is willing to prioritize its national interests over its reliance on oil prices, suggesting that it may be willing to tolerate lower prices or even sacrifice some oil revenue to achieve its broader goals, which could negatively impact the oil market.</t>
  </si>
  <si>
    <t>Oil Jumps as Traders Buy the Dip - Crude Oil Prices Today | OilPrice.com</t>
  </si>
  <si>
    <t>https://news.google.com/rss/articles/CBMiggFBVV95cUxQYTVKRExmTUxyN1ZESWdIVFBOOGJHdGRLN2hRd0FvbjlyWExDLXFrSVNjTGZsNXhnMWFOeHB3SHNzUFUxUmo5OGZWcGt1OUN5NjNHXzA4Ym5yTkFQd09tNmpzNWVzcExReTdXQk1rdmhMM0RpYlV5ZzJhY2U1alIxcnF30gGHAUFVX3lxTFAybWZZMFd6aDl0M3lLdmNUc2dFN1k2VXNzVzZpelJWOVJhV3p1WXU0VXRIRG9abTZWOEhIcVFYRUhaZUJJNnN5WXI1NjlydlVSMkpLYWpxM0x5dWtGS2JtNmhoTG1nN3pHcXB1RVUya2U4bmU1ZmNvQmh1c21aYlZjMTJzQURuRQ?oc=5</t>
  </si>
  <si>
    <t>The sentiment is 'bullish' because the headline suggests that traders are actively buying crude oil, driving up prices, which implies a positive outlook on the market.</t>
  </si>
  <si>
    <t>Oil Price Slide Triggers Demand Jump and Slight Rebound - Crude Oil Prices Today | OilPrice.com</t>
  </si>
  <si>
    <t>https://news.google.com/rss/articles/CBMisAFBVV95cUxQaGQxTWJnSjZMSXVtcWFJVlZDdV9sQWNrdGFBMFYtNVZUUDJtWlVpS2JpeVhHdjBsWG95UWZXNnRSbzRKZF9rNWo5NFYyZmZySkg2OFVTVE4yY1lYWjNLR2thcnZNV2F1MHBVUUMwbmVPb1ZWTFlaSWFBRGZWTUNDd2xFS1VQc1UwZnlod05PSzVQMlNmSkZLdWdBN2ZyYmNCRUwxbmxxMndCSndid0tCN9IBtgFBVV95cUxOQVdHenpSNHNzZDlDa0l2Z1FURzBrcmk5UTBiUm5EUk14OEFkRnlOVGdpTWNIZ0FSN0JIOTV4LWZxeVZ1N1NOVl84RFdyTkpRVHlaZHV4eXU3TEsyLWdMVkRhczNGZ1dqTXFSRG5xRmdralhYcXVVN2FnRkRMV0dsSVJRbTNxWVpVd1V4Rm94anEwLTlram1UNmpZbmJyYUU4elNNRzF3TFZReVY5VVVZcmdNVWFiUQ?oc=5</t>
  </si>
  <si>
    <t>The sentiment is 'bullish' because the headline suggests that the oil price slide has triggered an increase in demand, which is a positive development for the market, and that prices are experiencing a slight rebound, indicating a potential bottoming out of the downtrend.</t>
  </si>
  <si>
    <t>The Market Is Well Supplied - So Why Is Saudi Arabia Raising Oil Prices - Crude Oil Prices Today | OilPrice.com</t>
  </si>
  <si>
    <t>https://news.google.com/rss/articles/CBMiuAFBVV95cUxOZXZwd21KMW5pc0l2d2s0LWw5OVQtb1ZBczN5TTFIdTkzNzVmOEpfQUlaRjJpY2o5bS1ndlpKOHpxc3pXaHZmc1U3YmlfX1d6Mkc4NGduVXFMRWd6QzRwR0FzVmhVZHZLMWJab21wWjlSa0c3VHppNm1pbERtOGYtWnlvb2p4d0x0RnhYQlIxM1BrVDFMcy1ydENKUmctUkhxcWJ5eVpUN0VjNXFmbXZQRXFFYUNkNlU40gG-AUFVX3lxTE5SOUJDOXdDb3JsdXRSMTh6ZlRmd1VTbjhFQ2JDTVM3MTNZc2R0R3JfN3ZjclhlTzVxQUZ2cHNsanhFV1U1YmtfRnl5eURfS1EtUWZJRlRwb1l3QVhBbHd5ekIxVGVZcXhBZG1pcWpqeEtKM0gtc0pEcHE2OUk4eUNubXBKVFlIbks2TEdnSHl3bUp1LWVrV3p2MEFCbWlpQW5USzJuOF9fcnJnRmp2MEdnWGp4VjBOd3RfdDJ3amc?oc=5</t>
  </si>
  <si>
    <t>The sentiment is not 'bullish' because Saudi Arabia's decision to raise oil prices despite a well-supplied market may indicate that demand is stronger than expected, and the price increase could be a sign of tightening market fundamentals, which could be bearish for consumers and bullish for oil producers.</t>
  </si>
  <si>
    <t>Devon Energy misses first-quarter profit estimates on lower oil prices</t>
  </si>
  <si>
    <t>https://www.reuters.com/business/energy/devon-energy-misses-first-quarter-profit-estimates-2025-05-06/</t>
  </si>
  <si>
    <t>The sentiment is 'bearish' because the company's failure to meet profit estimates, driven by lower oil prices, suggests a negative impact on Devon Energy's financial performance and potentially erodes investor confidence.</t>
  </si>
  <si>
    <t>Oil Holds Decline With Higher OPEC+ Supply Weighing on Outlook - Bloomberg.com</t>
  </si>
  <si>
    <t>https://news.google.com/rss/articles/CBMinAFBVV95cUxNejJfRE5PSkJ2bzIzQmJFTEZjSWpnVUh1ajBuTmlWazZUdnctVEZDRkUyTEd6TEJRb24xLWFGN2NWeGE0VXhEbzc3RVhScUF1VmFvZ1AwNG5nSVFrNktxd3BoWFJnalNCbTd6TU9OSzB3UC1VeGNiVjB0RW05RlIwUExQVkM0b01tOGI2UVpiRXBIc1pSRC1FMUdDcC0?oc=5</t>
  </si>
  <si>
    <t>The sentiment is 'bearish' because the headline suggests that an increase in OPEC+ supply will lead to a decline in oil prices, implying a negative outlook for the market.</t>
  </si>
  <si>
    <t>Crude Stockpiles Drop as Oil Prices Rebound - Crude Oil Prices Today | OilPrice.com</t>
  </si>
  <si>
    <t>https://news.google.com/rss/articles/CBMioAFBVV95cUxPQjhqdHBKUmMtQk1NdXJOc3dia0YzQlZKQ0pqTXZfdmNnVG9vMkw2cS1BdUwyUkxRenc4dFJWQU5vOENVRi1Lb1FtV1NGQnUwNHlTNkRHZ2xiaWJtaEowX243SFhKNU1LN3Yta1Q4cXppdFZ2QkZoa1hyTzkwS3B2WnNOV2tZNGZzNXpaUVNLYnBSa283WFJhdl93UTlDZEhs0gGmAUFVX3lxTE9PSEFveWdGOWxua1F5d2RaVjRRVEJwQmR2WVA4YjVFVlZEOG81RTZqSVlJdjE2cHZGTWUwUlcxTUdHVEpUdVlUVkViR3oxQ1htSGo2WU1RQkVYVG5HTlZNUkdWaENEaHhkYlotdGtpZXQxekNPZklKNVNPNU5sR2c3M2NDMzFCRVN6U1liYm52M1d2QnB3b1ZGMkVMa0RFTlh5RzM0RGc?oc=5</t>
  </si>
  <si>
    <t>The sentiment is 'bullish' because the drop in crude stockpiles, which indicates a decrease in supply, combined with rebounding oil prices, suggests a tightening of the market and increased demand, both of which are typically positive signs for oil prices.</t>
  </si>
  <si>
    <t>Oil Prices Bounce Back From OPEC Bombshell - Crude Oil Prices Today | OilPrice.com</t>
  </si>
  <si>
    <t>https://news.google.com/rss/articles/CBMilAFBVV95cUxNbW8zanF5X2hod3RwTU9vNlZTdmhCM2RRT2h6QnVQZkg3LXVqVUhCZkg3TXFlYW5RclpEQ3BGZkRfU0U0SVVrMEZFc0U1bnZzZXgxV2g4ZUxMYjZLQmtKaVptT1lsckt5aXdYX2pFR3YxMjhWM0RHcERrVDcwUzIwZnlMVWhZdWVzZjFBQ1Rxd0RCS0Nz0gGaAUFVX3lxTFBzS1FvZmZZQWdYTTkybGhwS0Y5Tl9uSFBwZ0VGZkZ1WG9BaXVRMEpUNWRzRVN0TFdRdEpoNnhMRy1JblpTWHBVNzFlSDZsM3lRWWVwcEd4Tmh5cENFMnhvcm42SkJKOGRQZ1ZtZjg0RC01WmNLdmlqU2tKckgxdktYVnRiNVVJTHA3QVR6OUY4NWREQkdHVTRGdXc?oc=5</t>
  </si>
  <si>
    <t>The sentiment is 'bullish' because the phrase "bounce back" implies a positive movement in oil prices, suggesting that the market has recovered from the initial shock of the OPEC announcement and is now trending upwards.</t>
  </si>
  <si>
    <t>Weatherford CEO says oil below $50/bbl could hurt offshore investments</t>
  </si>
  <si>
    <t>https://www.reuters.com/business/energy/weatherford-ceo-says-oil-below-50bbl-could-hurt-offshore-investments-2025-05-05/</t>
  </si>
  <si>
    <t>The sentiment is 'bearish' because the CEO's statement suggests that low oil prices could lead to reduced investments in offshore oil production, which could negatively impact the industry's overall growth and profitability.</t>
  </si>
  <si>
    <t>Higher OPEC+ output, tariff uncertainty raising oil price volatility, EIA says - Reuters</t>
  </si>
  <si>
    <t>https://news.google.com/rss/articles/CBMiywFBVV95cUxOa1VpNjQ1VmlJbzJJN24xdHpNRS01ZG5NV2JYd25Rb0tyczc0NDZoYlpPXzVnN3ZCd281bFBkYnE0bk1hMkZ1Q0JZR0VLeG8xdEpMcnlGN1ZUNUxMV3ctSlcyUmZBY29wcTZwQUhLYXhtNm5aME13ZVNjZWRuY2h1Wm96NWdrM0tSbkNUc3hOV2wwOUZZMm5yMWlOSXQ4MlJDMEFZazFXajZsOVpqU0ZWbDFLbWh4Y2FQME8wMEd1bHlOdFV4elFiMXlvbw?oc=5</t>
  </si>
  <si>
    <t>The sentiment is 'bearish' because the announcement of higher OPEC+ output typically increases global supply, which can lead to downward pressure on oil prices, and the uncertainty surrounding tariffs can also negatively impact demand, further contributing to price volatility and downward pressure.</t>
  </si>
  <si>
    <t>Russia Mulls Tightening Budget Rule Over Slumping Oil Prices - Bloomberg.com</t>
  </si>
  <si>
    <t>https://news.google.com/rss/articles/CBMisAFBVV95cUxPY0swU3daWDZMZ2QzVHgxcWp4VDA4TV9VcU9WMTZFSkR6dDY3SnZPREJnRXVyZjhhMWRMTEJPNkFzNzI2SVJXODUwMVJFalQxTmtVRnZ6RTVDWjlNOGlZeXppY190UExsbVBCUmlJd0U1TkRtR0N6UGdkQ2J0OWQxRE9PbXdRVWU1bnZQVm1tME5FNGF0cXdiMm1uV2VuWG96UnRvMlk3Q2lVX0lrY0JsQQ?oc=5</t>
  </si>
  <si>
    <t>The sentiment is 'bearish' because a potential tightening of Russia's budget rule in response to slumping oil prices suggests that the Russian government is preparing for a prolonged period of low oil prices, which could have negative implications for the global oil market and Russian economy.</t>
  </si>
  <si>
    <t>OPEC+'s 'healthy' crude oil market looks like catching a cold: Russell - Reuters</t>
  </si>
  <si>
    <t>https://news.google.com/rss/articles/CBMiuwFBVV95cUxOY0dnSTJnYmlwWFBKR1RnNTlobkVSMi1ER2JFcWNUYXFmd1BEMlNKLTVrRGlnUGZKTnBHcFU4RkJpSG96ZmFfTlQ1T01yUmpBNHdscVhHMzlwVF9pRDB4cm1lUmh3X2wzR3dIcFdSS0cxMFgtVmFtUGRzdjlXVm90Zl96OWpzZjA3OVp0cmRqamFKblZjUmc4QVNUTzJPR0tJWWNqZzhMNGdtdlpEYkpNbVhCZUxHdGZ5b0JJ?oc=5</t>
  </si>
  <si>
    <t>The sentiment is 'bearish' because the headline suggests that the crude oil market, which was previously considered "healthy" by OPEC+, is now showing signs of weakness, implying a potential downturn in prices or market conditions.</t>
  </si>
  <si>
    <t>Morning Bid: Crude awakening - Reuters</t>
  </si>
  <si>
    <t>https://news.google.com/rss/articles/CBMiekFVX3lxTE9ncUlYaEc5V2dBaW1kdDNGMExnbEg0bjYzbDJSNllMRFY2Y2hKSHJkbUFVWVVNVU5hSnc4cWhsajJkX0NvYUhDZnVyMFVBYzktT29qSDBZMkRybVc1MVUzWmtFN2ZoTGF2Wm1Odk5KU2FXbWp6bDJjV1JB?oc=5</t>
  </si>
  <si>
    <t>The sentiment is 'bearish' because the phrase "Crude awakening" suggests a surprise or unexpected event that has negatively impacted the oil market, implying a downward pressure on prices.</t>
  </si>
  <si>
    <t>Oil ends at four-year lows as OPEC+ accelerates output hikes - Reuters</t>
  </si>
  <si>
    <t>https://news.google.com/rss/articles/CBMiswFBVV95cUxQeUkxTWk2ZkJYM0hWOGtJRTJuZWw5UGNKeUtnaWZtaWVscjJYdFVISGtpSmFPVTB3SGVnWVRSVDVvS21FTVJISVN0VnJPb0k5MlpzZWpxVTY5dzg5Q196QVdEMEZMdHBFSVd3akhHUmtHWll1SlU5ZUlQY2VQYXZTUmpyVTBWNC1zMHR3NEhsQWdGTzZ3dDBqQ2tVS2dSRUo1V2ZoWlljRmI2X2JnbkpqN3JYWQ?oc=5</t>
  </si>
  <si>
    <t>The sentiment is 'bearish' because the headline suggests that OPEC+ is increasing oil production, which would lead to a surge in supply and put downward pressure on oil prices, thereby benefiting consumers but hurting oil producers and investors.</t>
  </si>
  <si>
    <t>Oil price slumps after Opec+ expands production</t>
  </si>
  <si>
    <t>https://www.ft.com/content/7e4a73da-f409-4d65-89cc-2528ebd35e56</t>
  </si>
  <si>
    <t>The sentiment is 'bearish' because an increase in oil production by OPEC+ is likely to lead to a surplus in the market, putting downward pressure on oil prices, which is typically viewed as negative news for oil producers and bullish for consumers.</t>
  </si>
  <si>
    <t>Goldman Sachs lowers oil price forecast after OPEC+ decision to boost output</t>
  </si>
  <si>
    <t>https://www.reuters.com/markets/commodities/goldman-sachs-lowers-oil-price-forecast-after-opec-decision-boost-output-2025-05-05/</t>
  </si>
  <si>
    <t>The sentiment is 'bearish' because a lower oil price forecast by Goldman Sachs, a reputable investment bank, suggests that the market is expected to be oversupplied, leading to downward pressure on prices, which is a negative outlook for oil prices.</t>
  </si>
  <si>
    <t>Saudis Hike Oil Prices to Asia Despite More OPEC+ Supply - Bloomberg.com</t>
  </si>
  <si>
    <t>https://news.google.com/rss/articles/CBMitAFBVV95cUxORHlrNHpuYmRub0FjenkyWlZvQnhwQ2E2UkZmN1JIWHNQZzI4bFhuTlBodnI5Z0JjRElXa2hjRmJJVDhPb0VNVDJwRHR0VFN5ZlpzbXhydDFydld0Q2FHT2k1NlZTeE1YMjAtZXZtTFZORmxxTUpvcnhZdmg0SmNFcGc5TmJHRGI2aUlFY0RfMnVGaExBMlN0UzRfQXJUWnlTLU9Sd2ZZbmJUY0VEbXJyQ2M3ejc?oc=5</t>
  </si>
  <si>
    <t>The sentiment is 'bullish' because higher oil prices, despite increased supply, suggest strong demand and a tight market, which is a positive indicator for oil producers and investors.</t>
  </si>
  <si>
    <t>Saudi Arabia Raises Oil Price to Asia as OPEC Boosts Supply Further - Crude Oil Prices Today | OilPrice.com</t>
  </si>
  <si>
    <t>https://news.google.com/rss/articles/CBMiwAFBVV95cUxQR1JYYzhpQjdWcTJWczhMaGZyTWdEUkRfZE0xU19XTjdUSkhRWTNHMzBYSUJGeWN4ckNIOE9WSlBwZ19GMVFwNFBfQlE3QkVrN3otVlRwbFhsMHZHT29BZkpPN1VkSFNWdWYyQnBzS1BMVEN2aDVOSU1VZTg4WDdhNUJjZTVRVWhHS29UeGpsQVRfQWJCQk9ya3NvTU9lcWdsMUlLQUs2bHJ2bUxDbTN4X2tSazdIRGhEbjl5T3NCSHHSAcYBQVVfeXFMUFloQjVLMWJQNWVCMFdIR0wyd0ZZT3BTLU01U1dhMzdPZGJBMzk3dUpJR0pHSUhVMnJEWDI5WkV3VGdWTXM1dFJJVlpaX1c2T3pWYVI1X2d0enF3T2tpSnFUTV85UW1IYlRTYkRTZFVyWF9QQnU1MTR1SUpmSTl5aHJoYmhCdnVtZTRGVjBvTkdUQTBGTktId0dCN2hxeWgxZVJnQ2FJbXF6ZXpmQjAxQ3BGY2lnY21XUWtWcWEtMmxIbGRKZG5R?oc=5</t>
  </si>
  <si>
    <t>The sentiment is 'bearish' because the headline suggests that OPEC's increase in supply will put downward pressure on crude oil prices, which would negatively impact oil producers and investors.</t>
  </si>
  <si>
    <t>Barclays cuts 2025, 2026 Brent crude forecast as OPEC+ accelerates output hikes</t>
  </si>
  <si>
    <t>https://www.reuters.com/business/energy/barclays-cuts-2025-2026-brent-crude-forecast-opec-accelerates-output-hikes-2025-05-05/</t>
  </si>
  <si>
    <t>The sentiment is 'bearish' because the announcement of OPEC+ accelerating output hikes implies an increase in global oil supply, which would put downward pressure on prices, justifying Barclays' decision to cut its forecast for Brent crude.</t>
  </si>
  <si>
    <t>OPEC Plans Faster Rollback of Output Cuts - Crude Oil Prices Today | OilPrice.com</t>
  </si>
  <si>
    <t>https://news.google.com/rss/articles/CBMingFBVV95cUxPc2VDMVBEWDNBeFZOaUM4UnZzQ3MyTktzUmxsUHpYNnIwTm5FaC1OSFpjcU5YQnBNb3hhQ014WFNyUnpCRkZXYXNpRkprRHVyNlljOGVEWnFuOGFjSEFzMGJZR0s1TDlCNmxrR0RSVk1CeGFDS210bFBDR0RNVjBhUnZpY1FDQlVzM2JhVjlXdV96R3djNUFIRmh2d0xmZ9IBowFBVV95cUxPTHFBelNjS0psWWtaREFocm10aElVYkZBcTRwLUJSSDBkUENueFQxRWxaQmliWVd3TEhhTFhITU9xUkJOQlhfUkVsZkhhQjdnTXVPUklKNGxDb3VFR1pZaGlhem1GeWJmSzE4SnYxNFVMRm9WTkxuV19DSTJTMjNFMloxOE0yaF8xLWhOSDB6R0pXbkpIcDU1UkpYb3BuSExCMlV3?oc=5</t>
  </si>
  <si>
    <t>The sentiment is 'bearish' because the planned rollback of output cuts by OPEC implies increased oil supply, which may lead to downward pressure on crude oil prices.</t>
  </si>
  <si>
    <t>Oil Drops as OPEC+ Supply Surge Threatens to Swamp Global Market - Bloomberg.com</t>
  </si>
  <si>
    <t>https://news.google.com/rss/articles/CBMinAFBVV95cUxQOVZFSHRWN2hBUk8wZW9kSkpaNDduZDlOci1jVTdNNF81bFRDRjJoZ1JyUC00TUZ4ZktCV2lwdHBfSHZtaUNpNHdrZjVLQ0lkX254Vlg4Zi1ETVZxblBKd0d4Sk40bWJxWlI1STNSWHRlb3BkeENTbUM4NU12YlhoZVNxTVFRajV5OUFpYm1hYTFlMVBoT19XRzJLQmg?oc=5</t>
  </si>
  <si>
    <t>The sentiment is 'bearish' because the headline suggests that an increase in supply from OPEC+ producers could lead to a surplus in the global market, which would put downward pressure on oil prices.</t>
  </si>
  <si>
    <t>Global stock index dips while bond yields rise, oil prices drop</t>
  </si>
  <si>
    <t>https://www.reuters.com/markets/global-markets-global-markets-2025-05-05/</t>
  </si>
  <si>
    <t>The sentiment is 'bearish' because the combination of a dipping stock index, rising bond yields, and dropping oil prices suggests a broad-based decline in risk appetite, which typically accompanies economic slowdown or uncertainty, implying a pessimistic outlook for oil markets.</t>
  </si>
  <si>
    <t>Stock Market News, May 5, 2025: S&amp;P 500, Dow Break Nine-Session Winning Streaks - WSJ</t>
  </si>
  <si>
    <t>https://news.google.com/rss/articles/CBMihwFBVV95cUxQVGd1VkdPY1d6cGNuNUZpTHBMRkl3SDJpMDcwYTliRjNreHh4XzBvcGlVYjM5Vl9QRkZYNTFfejJXME5vUkpkZEVBSG5CaVlQa3JqZTZPX3g1Wk1ZRzBVUDNJSXVqd2pydXZtVDI1VzBlSE4xaFpON0otWVpuSi1wamdiSm5oZTA?oc=5</t>
  </si>
  <si>
    <t>The sentiment is 'bearish' because the headline indicates a break in the nine-session winning streaks of the S&amp;P 500 and Dow, suggesting a potential reversal in the market's upward trend, which could lead to a decline in investor sentiment and ultimately, a bearish outlook.</t>
  </si>
  <si>
    <t>Exclusive: OPEC+ to further speed up oil output hikes, sources say</t>
  </si>
  <si>
    <t>https://www.reuters.com/business/energy/opec-further-speed-up-oil-output-hikes-three-sources-say-2025-05-04/</t>
  </si>
  <si>
    <t>The sentiment is 'bearish' because an increase in oil output hikes implies a potential supply glut, which could put downward pressure on oil prices, negatively impacting oil producers and bullish investors.</t>
  </si>
  <si>
    <t>Oil posts biggest weekly loss in a month ahead of OPEC+ meeting</t>
  </si>
  <si>
    <t>https://www.reuters.com/business/energy/oil-prices-rise-china-says-its-open-trade-talks-with-us-2025-05-02/</t>
  </si>
  <si>
    <t>The sentiment is 'bearish' because the headline suggests that oil prices have fallen significantly in a short period of time, implying a downward trend in the market, which could lead to further losses if the OPEC+ meeting does not result in significant production cuts or other supportive measures.</t>
  </si>
  <si>
    <t>OPEC+ agrees another accelerated oil output hike for June</t>
  </si>
  <si>
    <t>https://www.reuters.com/business/energy/opec-set-make-another-accelerated-oil-output-hike-june-sources-say-2025-05-03/</t>
  </si>
  <si>
    <t>The sentiment is 'bearish' because an accelerated oil output hike from OPEC+ suggests an increase in global supply, which could lead to downward pressure on oil prices, weighing on the market.</t>
  </si>
  <si>
    <t>OPEC Stuns Market With Larger Than Expected Output Hike - Crude Oil Prices Today | OilPrice.com</t>
  </si>
  <si>
    <t>https://news.google.com/rss/articles/CBMisAFBVV95cUxOX0hRQlN0OEt0UXUwakcxODNzeEZzZklQbjN5R21iRXF2cXU0OHM0LUtCUTVxUlh2N2pOVExOdllaeE5CaE8zWlR5MEQ1ZTBod1VxQ3QzTmtNNGE4eEYtODl4ZmI5Y3FXNDREVm82VnRmZWxuT3RSVkdtRXpXRlpTTENCQldxVlJ1OHVqSUt2ZFItR2RoeFM0ZndjNkxjV0xUYUxHd1Zwd1JLaUFubmpHWdIBtgFBVV95cUxNR2NNRDZKNkQ4OVJHeVhKZnk5Vmh3djdQekdNSUJGQ0dZRHVrZUtMeV80RVZVWWpyeVpLSnFPeGxVNkw1YS05ZFpJdE5SMTg3dGNLUUlQeXBwN2NKUjhJUzZJbU5BTTJ1Y3JqT0xUTlFTRGgtNlQ1NFZGZ3JwVGhGclhCT1lCTENWaVFyUHJaQlZQTWxlVXNENGdKOWI1Si1yRkxWaU54azBKLWtKMEZOX0hPYTlsQQ?oc=5</t>
  </si>
  <si>
    <t>The sentiment is 'bearish' because a larger-than-expected output hike from OPEC indicates an increase in global oil supply, which could lead to a surplus and downward pressure on crude oil prices.</t>
  </si>
  <si>
    <t>Oil Rebounds With U.S. Production in Focus</t>
  </si>
  <si>
    <t>https://www.msn.com/en-us/money/markets/oil-rebounds-with-u-s-production-in-focus/ar-AA1EdMRP</t>
  </si>
  <si>
    <t>The sentiment is 'bullish' because the rebound in oil prices is likely driven by expectations of tighter supply in the US, which could be a positive sign for oil markets, especially if US production growth slows down or declines.</t>
  </si>
  <si>
    <t>Big Oil in business as usual mode despite nearing storm: Bousso</t>
  </si>
  <si>
    <t>https://www.reuters.com/markets/commodities/big-oil-business-usual-mode-despite-nearing-storm-bousso-2025-05-02/</t>
  </si>
  <si>
    <t>The sentiment is 'bearish' because the phrase "business as usual mode despite nearing storm" implies that the oil industry is not taking necessary steps to prepare for an impending crisis, suggesting a lack of caution and potential for negative consequences, which is a bearish outlook.</t>
  </si>
  <si>
    <t>Oil posts biggest weekly loss in a month ahead of OPEC+ meeting - Reuters</t>
  </si>
  <si>
    <t>https://news.google.com/rss/articles/CBMiqwFBVV95cUxNVzVBYUFTWV9SZHRhNmN5dTlCSkVjRHFPYklfYlF6Tnltc2NyVHdHeDdjU0szck9fSHJyNFdEbkhBcC1IVFUzUG10bV83WTZ2eXBjWnJOVWp6SWdrVDY5ZE16X1otV1R1OHBTYnlxVHpaRHdfOVpPdzRaSVNGQjVTYXhjTXlvYV9vNEVjNUpvLUk0OExBNjB2STNYODV5MjZfS0I5ZUUwR1NyYlU?oc=5</t>
  </si>
  <si>
    <t>The sentiment is 'bearish' because the headline implies that oil prices have declined significantly over the past week, suggesting a downward trend in the market, which is typically associated with bearish sentiment.</t>
  </si>
  <si>
    <t>Oil up 2% as Trump threatens new sanctions on Iran</t>
  </si>
  <si>
    <t>https://www.reuters.com/markets/commodities/oil-prices-take-breather-after-selloff-supply-worries-2025-05-01/</t>
  </si>
  <si>
    <t>The sentiment is 'bullish' because the threat of new sanctions on Iran, a major oil producer, implies a potential reduction in global oil supply, which would drive up prices and benefit oil exporters and producers.</t>
  </si>
  <si>
    <t>OPEC Moves Up Meeting To Discuss Oil Production Quotas - Crude Oil Prices Today | OilPrice.com</t>
  </si>
  <si>
    <t>https://news.google.com/rss/articles/CBMirwFBVV95cUxNeWloNlA5TmoxYXVGMk5fMWowN3hXc1dTN1U2RkZTMWlTV2FFcjdqOVRfRllWRkVTdWQ2ZHlLc1RHcGVBMEFWS2RqdGg3dDZpUHNSUXdyMEJ1aXhkZmpRSzJKU2tqNkY2ZENNRW5xX0h5cmd0U25mNGpUV1BwcXJ6Q3Q0YUI1OXBUTEJBUk81bS1xQWQxTGNqeHlMLXRNYkNnVTZyNVZxbmh0TEwtZTY00gG0AUFVX3lxTFBtcWFUTVVVdjY2OUZOaEdCRThmUXhTaDRaV3BPYUtDUklRVFY5UGxwdmx3V2NRZmJPU01BMUhvZmdvYmFERU5sY1NuNDY1bE5ISG9kNnpMdk9jTzdrZTV2NFpQTjB3Y1dnMl9iQUVvOU9QY1dEYXhzRHA5TTJuZ2V1ODhseEF3MUltcmlvS3JIcTBTaUJKY1dKUEkxOG05RExHNFNTQVBjeHBXZGFBc29oR3Zscg?oc=5</t>
  </si>
  <si>
    <t>The sentiment is 'bullish' because the earlier meeting suggests that OPEC may be considering increasing production quotas, which could lead to higher oil prices if the cartel decides to maintain or even cut production levels.</t>
  </si>
  <si>
    <t>Chevron Cuts Buybacks After Oil Price Drop as Exxon Sits Tight (XOM) - Bloomberg.com</t>
  </si>
  <si>
    <t>https://news.google.com/rss/articles/CBMitAFBVV95cUxNN3JySXhhd3JUS3ltb1V6MnJ4clZzZjRBNmtvOGdnMTRLZmNjeTk0MmtHd2dkT3o2M044LTRkTGJKd3BQMUZXdUdDNVl6MVctVFh2Qm5UUS12dW9xZnRfTTNBMjFIb000aHhCQjNoV1l5Um5QUHJvZUxwY0RNV1BGMVdYc1h6RVVOd0RWR3BwN3hKbEFoVUZzbFVZN3V2UmZUZENTQnNZdnIyWVdSaDR3c25wa3k?oc=5</t>
  </si>
  <si>
    <t>The sentiment is 'bearish' because the article suggests that a major oil company, Chevron, is reducing its share buybacks due to a drop in oil prices, indicating a negative impact on the company's financials and potentially signaling a broader industry downturn.</t>
  </si>
  <si>
    <t>Oil Rebounds But Set for Another Weekly Loss - Crude Oil Prices Today | OilPrice.com</t>
  </si>
  <si>
    <t>https://news.google.com/rss/articles/CBMikgFBVV95cUxOYzU4S3d5MFA4bVdDTDRZb3RBdmpBejl1REFreWlKaFN1RzlLcDJkM2tla3cyQUZrR185Q1dpMGFvdl9LcWk3Uy1mUFB5RVhNSEdpQW9IdVY1bGh3dDFXRkdORmpheVdiNUxaLU9fZnlXRVZrQlhXcF85d1RLVEhUWjdjMnhxcV9Kby1DdHptSWdjZ9IBlwFBVV95cUxNSDhTZVZLTTk3bmJrY3lTUllCNE4xSVoxOFJlT3RzUVowWUlNUHE5UWsxYWVkVUVDM2VPNjFhNnMxOHViMWV5RWt0VVBJNHU4ckYyc1dIRnN0dWZtTnpmbnltVEFrMWRVUER2WEV0allKMXRXWEFuS0xzOGFDOF84UXRQU0ZXOGtfTWw4Z1NSR2dzOHVLVDc0?oc=5</t>
  </si>
  <si>
    <t>The sentiment is 'bearish' because the headline explicitly states that oil prices are set for another weekly loss, indicating a downward trend in the market, despite the rebound mentioned, which is likely a temporary correction in a broader downward movement.</t>
  </si>
  <si>
    <t>Shell Keeps Pumping - Bloomberg.com</t>
  </si>
  <si>
    <t>https://news.google.com/rss/articles/CBMiwgFBVV95cUxQMWtsVVJIM0cyS0NTa0ZJQXpabGRGbDZZYVhtYnIyVW10bUd2TEVRcW02N1VRbDh0YVlkckMzWGtYUXlLZnl3cjJkUmo0QXJzTTE4MDIxN2trNjhkNTFkeVU4cURhRUhBUnlRRGw1LWZtcW1JamFTdTFBR1o5clNjeFNKY1pvcDJ3NUMtREtxNDlmNzZldHR6WTZKTHlxT3d4QmFXbURzWlM0Uk5iYUEzcWdSR2F1ZzU3VkF4M2NKVFBqUQ?oc=5</t>
  </si>
  <si>
    <t>The sentiment is 'bullish' because the phrase "Shell Keeps Pumping" implies that the oil company is maintaining its production levels, which suggests a positive outlook on demand and prices, supporting a bullish market sentiment.</t>
  </si>
  <si>
    <t>Oil Renews Slide Before OPEC+ Meeting That May Agree Supply Hike - Bloomberg.com</t>
  </si>
  <si>
    <t>https://news.google.com/rss/articles/CBMinAFBVV95cUxQR09HYkZKc1FRVHlxcWlGUGE4X3d6cERzRElfTEw0VGRNT3lXWWlzV0JQSUdnSFR6WWNPNEh6Nzcta3hGRTRzMzdYNEI1UllDajRxS3ZNeDNvOXNTdmNpalB0bVZPLWFhLUVDSlBIWWlUQmRCR0tVXzJoUmJuWEstczlRdWpzckYxVGIzanN5alhRaEsyTkdyUi13WmQ?oc=5</t>
  </si>
  <si>
    <t>The sentiment is 'bearish' because the article suggests that OPEC+ may agree to increase oil supply, which would put downward pressure on oil prices, indicating a pessimistic outlook for oil prices.</t>
  </si>
  <si>
    <t>3 Best Oil ETFs for May 2025</t>
  </si>
  <si>
    <t>https://www.nerdwallet.com/article/investing/oil-etfs</t>
  </si>
  <si>
    <t>The sentiment is 'bullish' because the headline implies a sense of optimism and confidence in the performance of oil ETFs, suggesting that the analyst expects these investments to perform well in May 2025, likely due to factors such as increasing global demand, limited supply, or favorable geopolitical developments.</t>
  </si>
  <si>
    <t>Oil settles lower, posts steepest monthly decline since 2021</t>
  </si>
  <si>
    <t>https://www.reuters.com/markets/commodities/oil-prices-fall-trade-war-concerns-dampen-demand-outlook-2025-04-30/</t>
  </si>
  <si>
    <t>The sentiment is 'bearish' because the headline explicitly states that oil prices settled lower and experienced their steepest monthly decline in over a year, implying a downward trend in oil prices that is likely to discourage market participants and lead to further selling pressure.</t>
  </si>
  <si>
    <t>Oil Price Rout Is Good News for Importers - Crude Oil Prices Today | OilPrice.com</t>
  </si>
  <si>
    <t>https://news.google.com/rss/articles/CBMijAFBVV95cUxPLV9KS1ZtMmx5U3hYX1FiZDJqYmVMVzN0dWhyRlZYR2puMlI4TnAwemlETGpxMV8tN1RNQkIxUU1GcWp4QjdXeXBKZEFvV3ZjT2NQamVZLWtNTDVMVF9Yb1BqRjFaVzRPUnVUQTV3VmJKa2Z4M0gzSEFIeHJZUFVDeWhIRGRGaDc4czJkVdIBkgFBVV95cUxPM0R5WUtmRWtabnljczRfdEYxbVZLNlUtdHIwNnpTNUlLdmlFX2lpTzVEUmwyU3lNYldYV3dHaFpOZWllV2ZrYVdOLS1XRzVETUR4VEJmTUw3YnV4a1BTV05SLW0yQ0lfeld0YW9EQlRib05JaFZrQk03bGdzOHEyRzlqUnVhQVlYQ3g1dV9TUjBJZw?oc=5</t>
  </si>
  <si>
    <t>The sentiment is 'bullish' because the headline suggests that the decline in oil prices is a positive development for importers, implying that lower prices will benefit their economies and industries, which could lead to increased economic activity and potentially higher demand for oil in the long run.</t>
  </si>
  <si>
    <t>Russia hikes 2025 deficit forecast threefold due to low oil price risks</t>
  </si>
  <si>
    <t>https://www.reuters.com/markets/europe/russia-raises-2025-deficit-forecast-threefold-due-low-oil-price-risks-2025-04-30/</t>
  </si>
  <si>
    <t>The sentiment is 'bearish' because Russia's increased deficit forecast suggests that the country is expecting a significant decline in its oil revenue, which is a key indicator of a bleak outlook for the oil market and potentially lower prices.</t>
  </si>
  <si>
    <t>Oil up 2% as Trump threatens new sanctions on Iran - Reuters</t>
  </si>
  <si>
    <t>https://news.google.com/rss/articles/CBMirgFBVV95cUxPd2lFeTZtdjNueElRbXlMWjdxTDVfSDNwb3MzR0k0MjBPbmV3M2NOd0dBWkVETkdielJsZlVxSk9CLXRoU0p3VERFbUViclg5YmxLaDRTOUwtQUdRalJOVGpXRU8yUzRLVFd3c1YtU3JmYXFTWUlqclpMZjlPN3FfbmZqUjV0VG5uLVVOVEZNTHY2bHgtWUlPMG05X2FmNmRFQkJwRjFONkpvam5Gcnc?oc=5</t>
  </si>
  <si>
    <t>The sentiment is 'bullish' because the threat of new sanctions on Iran, a major oil producer, could lead to supply disruptions and tighter global oil markets, which would support higher oil prices.</t>
  </si>
  <si>
    <t>Oil Prices Are Set for Another Monthly Dip - Crude Oil Prices Today | OilPrice.com</t>
  </si>
  <si>
    <t>https://news.google.com/rss/articles/CBMinwFBVV95cUxOdUxIUWNFaGpoSmppY3lvMnFoUTRWUWFrZEh0Z0J4SW9yYU0zLWxzUWtkVGNnNVhGempvR01XSVRZY0xTYTliVzBNLWFhMUl4NlR5V2ZXckVxeTdobUpGS1B6S2ZjQ0U1c3NlQjhnZUxWT1UxZEctWUlHSmNqUDF2b21FaU52eGhzSGtDN0xvNHZHejZPYzdQb3k0cXNiYmPSAaQBQVVfeXFMTlFTR3BONXRsak9tdms5Q3E1WmlpTUJaMnBNLXJyc090TDlYa0Z2am5iRVZmODdmeXZiS1dqUzNra3IxZHlRS1BHZTZUbkpWcDBtbXA3Z1ZtT1RBdFZoQkItOWN4ZDhlZmtzMHdxS29oWmhEODJkRExzQjJ5czh6YVZXOEFjSnJxcTROMHVnQ2UyaUF3eW9iWnNva0wwdk5xc3lYenQ?oc=5</t>
  </si>
  <si>
    <t>The sentiment is 'bearish' because the headline explicitly states that oil prices are expected to decline, indicating a negative outlook for oil prices, which is consistent with a bearish sentiment.</t>
  </si>
  <si>
    <t>Oil outlook dims on tariff headwinds, potential OPEC+ supply boost: Reuters poll - Reuters</t>
  </si>
  <si>
    <t>https://news.google.com/rss/articles/CBMiswFBVV95cUxQbFFNS2dlS0dCMzJsZzR5ZGtHcmE4VlltUm5kZjhYUE9Md0doMVRDVXNNdVNZdGJpWnRmb3BYVWhPVFVTNGlNcGNGcTNOTmtTZDNVXy1MVVUxa2RvbnpMN0o3NDh0bDRsZFhOazRDQ29rMVBHb2lXVzg3alY1LTJCQ1dTVEFfTUZGMDl1bEhZM3MzNGZNMW5uWFBaNnltREI4eS05RXFaakU1akRpWmZVd3ZQbw?oc=5</t>
  </si>
  <si>
    <t>The sentiment is 'bearish' because the headline suggests that oil prices may be negatively impacted by both external factors (tariff headwinds) and internal industry decisions (potential OPEC+ supply boost), implying a double whammy of downward pressure on prices.</t>
  </si>
  <si>
    <t>Oil settles lower, posts steepest monthly decline since 2021 - Reuters</t>
  </si>
  <si>
    <t>https://news.google.com/rss/articles/CBMisgFBVV95cUxQMllJTDRFdUdPcnpFa1BIa1dCS0gybE02T29rQjNUQ3BLY0xSUUFjMHJXV2tKdFVEdTY0QkwxdDRQOXk4Z1VMNkpneTduUGlfanczckh3ZTFxdWw5MEZJalpJTFUxeHZUbDJYaHN0Zko3UDFnZzZpMWhQODNnYlUxcDMzTHhTRTVNQzBKVFVKYm42TG1WODRYZjJ1Wjl4RlZJN0ZVaVpNcUo0dUFaX1NGRTlB?oc=5</t>
  </si>
  <si>
    <t>The sentiment is 'bearish' because the headline highlights a steep decline in oil prices, implying a drop in demand or an increase in supply, which is a negative indicator for the oil market.</t>
  </si>
  <si>
    <t>Wall Street Lowers Oil Price Forecast as Trade War Weighs on Demand</t>
  </si>
  <si>
    <t>https://www.wsj.com/finance/commodities-futures/wall-street-lowers-oil-price-forecast-as-trade-war-weighs-on-demand-9082450d</t>
  </si>
  <si>
    <t>The sentiment is 'bearish' because a downward revision in oil price forecasts by Wall Street analysts implies a pessimistic outlook on oil demand, driven by the ongoing trade war, which is expected to weigh on economic growth and subsequently curb fuel consumption.</t>
  </si>
  <si>
    <t>Oil Holds Aprilâ€™s Slump as Saudis Signal Increased OPEC+ Supply - Bloomberg.com</t>
  </si>
  <si>
    <t>https://news.google.com/rss/articles/CBMinAFBVV95cUxNSXBkZmVKeGoxRC1nZHQ3NEJQcmZuZ3p5bGd3bmJvWXBxTUMyU3ZycmJQYWZaVGNSRVhTV3dDSjhjalJrLXg3dTk4RFA1dWFOWWpwdmVKQllQLTRGWXZmVnp2TGE1dDVVYno1WEdOTjYwOWhYMlNTekl1LUxmQ3Z2c2dVd0FmU0dDbVlQcGpURzNldVdNQ2hDN0xHSXY?oc=5</t>
  </si>
  <si>
    <t>The sentiment is 'bearish' because the headline suggests that OPEC+ may increase supply, which would likely put downward pressure on oil prices, thereby indicating a negative outlook for the market.</t>
  </si>
  <si>
    <t>S&amp;P 500, Dow reverse to end higher despite GDP decline, crude prices sink</t>
  </si>
  <si>
    <t>https://www.reuters.com/markets/global-markets-wrapup-1-2025-04-30/</t>
  </si>
  <si>
    <t>The sentiment is not 'bearish' because the headline actually suggests that the market was able to reverse its losses and end higher despite the negative GDP report, which indicates a degree of resilience and optimism among investors, while the decline in crude prices is a mixed signal that could be beneficial for certain sectors.</t>
  </si>
  <si>
    <t>Saudi Arabia signals it can live with lower oil prices, sources say - Reuters</t>
  </si>
  <si>
    <t>https://news.google.com/rss/articles/CBMiugFBVV95cUxPQUVackgwVjlMZTZqRzJ0WFV5UGZCV0U0UUg0ZG15ZHJrM2NUSnFMeVlORzFFYzJVbnhnbGJ2Q1ZpdVp5ODIzVl9jRWw2S0VRWFdSXzRucS1DOE1CZVRUVmNOUmYtRVhMV016YkZBQ0lsdHVFekw4NXk2bkZ0MDZpN3Vuam1qQTdoY2pSLVFFSDJBTlpSU2dJMEZkN19NTEhOYzdfX0VfWkt0VU9keWdON1FRNEgxZG91dkE?oc=5</t>
  </si>
  <si>
    <t>The sentiment is 'bearish' because Saudi Arabia's willingness to accept lower oil prices suggests a potential increase in supply or a decrease in demand, which could lead to downward pressure on oil prices.</t>
  </si>
  <si>
    <t>Hess beats first-quarter profit estimate despite weak oil prices</t>
  </si>
  <si>
    <t>https://www.reuters.com/business/energy/hess-beats-first-quarter-profit-estimate-despite-weak-oil-prices-2025-04-30/</t>
  </si>
  <si>
    <t>The sentiment is 'bullish' because despite the headwind of weak oil prices, Hess was still able to beat its first-quarter profit estimate, suggesting the company's strong operational performance and cost management offset the negative impact of lower oil prices.</t>
  </si>
  <si>
    <t>Oil Holds Drop as Trade War and Rising Stockpiles Cloud Outlook - Bloomberg.com</t>
  </si>
  <si>
    <t>https://news.google.com/rss/articles/CBMioAFBVV95cUxPaTAxQVJwdHh5S0FhU0o2X1RnUWNsS2FQUEp6d09TakpMeTRTdzA1ZGFBM3VKNjlGdkdWTHBhdEZsczRJYlJnbE5SMDJ4ZDlHMmtaRkRfTGlSVHdzZ29QSzVYdFRsVXJlbUVLVHhSa25DRzB1VVVZcnU4dk9NUXpuNVZUUnFzN1UzSm5BLXk5MWhhMnVKS1M2alRYZEpQUDlf?oc=5</t>
  </si>
  <si>
    <t>The sentiment is 'bearish' because the headline highlights two negative factors, a trade war and rising stockpiles, which are likely to suppress oil prices, implying a downward pressure on the market.</t>
  </si>
  <si>
    <t>Oil prices fall 2% to 2-week low as trade war concerns dampen demand outlook</t>
  </si>
  <si>
    <t>https://www.reuters.com/markets/commodities/oil-falls-economic-jitters-dampen-demand-outlook-2025-04-29/</t>
  </si>
  <si>
    <t>The sentiment is 'bearish' because the headline explicitly states that oil prices have fallen to a 2-week low, which is a clear indication of downward pressure on prices, and the mention of "dampen demand outlook" suggests that the market is expecting lower consumption, which is a bearish indicator for oil prices.</t>
  </si>
  <si>
    <t>Is Saudi Arabia Preparing for Another Oil Price War - Crude Oil Prices Today | OilPrice.com</t>
  </si>
  <si>
    <t>https://news.google.com/rss/articles/CBMiqwFBVV95cUxQb1RkQVZYekRBQy1ic25MWVlWRDRGdE1ndVZXSE9QTFBvUS02amVZVnc2T0JXdXFsa3ZxbENtNmFCeS1aU0lSdC0yQXFfeG9qRXhEeHljQXh3S2YyRVp4d0RBNTdSZ2wzbjkwZzFHNTVCZ0F5YTA0ZzBZQUZHUXAtRUNhWGhpM002aV9FYW5FbjdzSUQxUERjM1hDbEFPYmFRTF9ORjluZ05WNlXSAbABQVVfeXFMTmdIVEpvYUhJN1RCVjF4c1VpSXFDQUtQX0dhWG9TSnJueWdiZ3p3ZWJrZUQyRXlGMTl3SHJLa0dyRUdXSnN3WHZpZlRhTGJMNlZrTHE4WTAyWGpFUzB5c3dMRWk1YUVlTmYybkU0Wkc3WVFobU1PZ0lldVpZTWVWdTJkUk5tcUNwTWc0YmFhdlRRMWVQcUYzdTdJa3pHTnA0U0ZSbXhoaWNRRVo1bXJxRkM?oc=5</t>
  </si>
  <si>
    <t>The sentiment is 'bearish' because the implied possibility of Saudi Arabia instigating another oil price war suggests a potential oversupply of oil in the market, which could lead to downward pressure on crude oil prices.</t>
  </si>
  <si>
    <t>Russian ESPO Blend oil freight rates hit lowest since January, traders say</t>
  </si>
  <si>
    <t>https://www.reuters.com/business/energy/russian-espo-blend-oil-freight-rates-hit-lowest-since-january-traders-say-2025-04-30/</t>
  </si>
  <si>
    <t>The sentiment is 'bearish' because lower freight rates for Russian ESPO Blend oil indicate reduced demand for the oil or increased supply, which is a negative signal for the oil market.</t>
  </si>
  <si>
    <t>TotalEnergies CEO seeks to reassure investors after smaller profit, higher debt</t>
  </si>
  <si>
    <t>https://www.reuters.com/business/energy/totalenergies-q1-profits-fall-lower-oil-prices-weak-refining-margins-2025-04-30/</t>
  </si>
  <si>
    <t>The sentiment is 'bearish' because the combination of smaller profit and higher debt suggests that TotalEnergies is facing financial headwinds that may impact its ability to invest in future growth and return value to shareholders.</t>
  </si>
  <si>
    <t>Oil outlook dims on tariff headwinds, potential OPEC+ supply boost: Reuters poll</t>
  </si>
  <si>
    <t>https://www.reuters.com/business/energy/oil-outlook-dims-tariff-headwinds-potential-opec-supply-boost-2025-04-30/</t>
  </si>
  <si>
    <t>The sentiment is 'bearish' because the headline suggests that the outlook for oil is dimming due to the potential impacts of tariffs and a possible increase in OPEC+ supply, which could lead to downward pressure on oil prices.</t>
  </si>
  <si>
    <t>Brent crude oil prices drop on demand fears</t>
  </si>
  <si>
    <t>https://www.reuters.com/markets/commodities/oil-edges-up-despite-murky-economic-outlook-potential-opec-supply-hike-2025-04-28/</t>
  </si>
  <si>
    <t>The sentiment is 'bearish' because a drop in Brent crude oil prices is typically associated with reduced demand, which can be a sign of slowing economic growth or increased supply, both of which are negative indicators for the oil market.</t>
  </si>
  <si>
    <t>Oil prices fall 2% to 2-week low as trade war concerns dampen demand outlook - Reuters</t>
  </si>
  <si>
    <t>https://news.google.com/rss/articles/CBMipwFBVV95cUxPMnE3WXYtTXNGYmtoTGdkeGh6VFkxZTJHT2VJSXhHa0U5R2JoeDJfSjlpQ2phbnpuVXhpb2tnSWhNUkFQZkdWQm9kMkRsTkg5cjBEdXlMYWZjanVCaktlOXNoc3ZvakpQVzZkWjB6STRFWkRRaDM0S3JBYTVWM1AxRlV6TU5CZjZQXzBvelBrSG5lVEFzb3l0QnF2Wk5mc21Sa2RRd3Z0UQ?oc=5</t>
  </si>
  <si>
    <t>The sentiment is 'bearish' because the decline in oil prices to a 2-week low, driven by concerns over the trade war's negative impact on demand, suggests a weakening outlook for oil consumption and subsequently, lower prices.</t>
  </si>
  <si>
    <t>CNOOC's Q1 profit down 7.9% on weaker oil prices, but output grows</t>
  </si>
  <si>
    <t>https://www.reuters.com/sustainability/climate-energy/cnoocs-q1-profit-down-79-weaker-oil-prices-output-grows-2025-04-29/</t>
  </si>
  <si>
    <t>The sentiment is 'unrelated' because the headline presents a mixed bag of results for CNOOC, with a decline in profit (which could be perceived as negative) offset by an increase in output (which could be seen as positive), making it difficult to categorize the overall sentiment as strictly positive, negative, or neutral.</t>
  </si>
  <si>
    <t>Oil Holds Decline With US Economic Outlook, Iran Talks in Focus - Bloomberg.com</t>
  </si>
  <si>
    <t>https://news.google.com/rss/articles/CBMioAFBVV95cUxON2FaeWY1QUdRRzF4Nk95N2hTRGlYd3hPTkk5VzRvZjlGLTlaeG1tbnpnRWdxUG1ScFdUWk9ZMm9BTXBkWlc1eEUzQ3JuNE5sWVZoaEFQTWxua3V1VGM1VzJ4UlJUbElIREN3U1d3SDNmVFg2UHVPaXd0YXhOeHhxMjBsRG1GN2hfOG1rUjlsbGRoZlhTa1dzMVNTcmNIMFI4?oc=5</t>
  </si>
  <si>
    <t>The sentiment is 'bearish' because the headline suggests that oil prices are declining due to concerns about the US economic outlook, which could lead to reduced demand, and the ongoing Iran talks, which could potentially increase supply, both of which are negative factors for oil prices.</t>
  </si>
  <si>
    <t>WTI Falls Below $62 with Eyes on Bessent and Iran Developments</t>
  </si>
  <si>
    <t>https://www.google.com/url?sa=t&amp;rct=j&amp;q=&amp;esrc=s&amp;source=newssearch&amp;cd=&amp;ved=2ahUKEwiCjpDMu7ONAxXQ-TgGHao5NrsQxfQBKAB6BAgNEAE&amp;url=https%3A%2F%2Fwww.theglobeandmail.com%2Finvesting%2Fmarkets%2Fcommodities%2FLOJ22%2Fpressreleases%2F32109131%2Fwti-falls-below-62-with-eyes-on-bessent-and-iran-developments%2F&amp;usg=AOvVaw36QAgUh5i3Si3OCurzEgKs&amp;opi=89978449</t>
  </si>
  <si>
    <t>The sentiment is 'bearish' because the headline suggests that WTI prices are declining, which implies a negative outlook on the oil market, and the mention of Bessent and Iran developments may be hinting at potential bearish catalysts that could further pressure prices.</t>
  </si>
  <si>
    <t>Oil Prices Slip Further as Market Remains in Grip of Tariff Fear - Crude Oil Prices Today | OilPrice.com</t>
  </si>
  <si>
    <t>https://news.google.com/rss/articles/CBMivAFBVV95cUxOOGVhV3NrZTNSQ0ROc3lBalR5cENlTVIzOTFuSGpsOUNnZFMtcWMtUHpvRGQxRFN3YjRsNXRnQnVjc3BxRE10Umo3ZkZ3MVFid2FSZnBXVmFvNmNfM2tXbXUyRGxRMnhyWExQbmtYazkzeFR2RUlHWWF5ZkJxNF9QbE5UN2gyQ0dRMVFPOU93bUpZcVY0RVZhMlJEZEJPcW96ZWptdVo1aXhjQTFnTTBHUWxxMjB0TVFNSUFMedIBwgFBVV95cUxQVWhEVU5CU2NCaXEwZDhRNW03dGc2YjZscktVUm1XcVpsc3Y4QmprbEhiZDhkanJialNKbVdZb1B6N0gzZElHaDZLOHlsX01kZllRSWYyVDdoMXFPZGw4OUJCeUpYNnJvcnBjNThFb1l3RkhzWFBxX2loRkJfbHlUM0c5cV9SOVJJYTZmTFhEZUYtSmlrNy03UlI0VmlVU2V5ZlNqMGp5Nl9JcmpuR25RYnZaUk1WU2N1emxfeERobVlvZw?oc=5</t>
  </si>
  <si>
    <t>The sentiment is 'bearish' because the headline suggests that oil prices are declining due to market concerns over tariffs, implying a negative outlook for the oil market.</t>
  </si>
  <si>
    <t>Big Oil braced for worst year since pandemic as bumper profits recede</t>
  </si>
  <si>
    <t>https://www.ft.com/content/692ba45e-6dd9-425c-b03d-a41175c0f343</t>
  </si>
  <si>
    <t>The sentiment is 'bearish' because the headline suggests that the industry is expecting a significant decline in profits, which would negatively impact oil companies' stock prices and investor sentiment, indicating a pessimistic outlook for the industry.</t>
  </si>
  <si>
    <t>Angola more likely to tap IMF loan after oil price drop, finance minister says</t>
  </si>
  <si>
    <t>https://www.reuters.com/business/energy/angolas-finance-minister-says-country-stress-testing-lower-oil-prices-imf-2025-04-25/</t>
  </si>
  <si>
    <t>The sentiment is 'bearish' because a decline in oil prices, which is a major source of revenue for Angola, would likely exacerbate the country's financial struggles, making it more likely to seek a loan from the IMF, indicating a negative economic outlook.</t>
  </si>
  <si>
    <t>Greek shippers return to Russian oil market as prices slip below G7 cap, sources say</t>
  </si>
  <si>
    <t>https://www.reuters.com/business/energy/greek-shippers-return-russian-oil-market-prices-slip-below-g7-cap-sources-say-2025-04-28/</t>
  </si>
  <si>
    <t>The sentiment is 'bullish' because the return of Greek shippers to the Russian oil market, driven by prices falling below the G7 cap, suggests an increase in oil demand and potentially tighter supplies, which could support higher prices in the short term.</t>
  </si>
  <si>
    <t>Brent crude oil prices drop on demand fears - Reuters</t>
  </si>
  <si>
    <t>https://news.google.com/rss/articles/CBMixAFBVV95cUxOdDV6VUxLNFNrb3poemU4VTQ0czV0bmthT3lJUmhJU2VoMDJsUE9HRnZ6d3lxdzk3ZnlCRjhrRzc0ZGJiUzFNNkFPajllVnpJVVVHcXY0NG5ndklWWnJ4cVduVVgwVHRfb05DZ2xaVnh2a01VbHR3azRyYjllN3JmNklnSFVURkFYOXhRaXlCQXppaTdEVl9oMk13bk5yTGlXRVc3VTkzdkdSWUpoVWc2SmNYODVXZWpSajBnM0tmQTB4YzlS?oc=5</t>
  </si>
  <si>
    <t>The sentiment is 'bearish' because a drop in Brent crude oil prices, driven by demand fears, indicates a negative outlook on the market, suggesting that market participants are concerned about weakening demand leading to a potential oversupply.</t>
  </si>
  <si>
    <t>China's Oil Inventories Soar to Highest in Nearly Three Years - Crude Oil Prices Today | OilPrice.com</t>
  </si>
  <si>
    <t>https://news.google.com/rss/articles/CBMitwFBVV95cUxOc3ZMbUpVVDliMlJ1MEpZTjdCNmdqUGE0R2hTMm5rRTl4REU0YU52QXR5b2FRUkk0WVN0TGZvaFU3ckhLMkZZRENRdE9XWXExaFNyY3FzSFBsWVFiSW9PV3JKTU05WVlyaF9nejFEeGNYald1MUE4MjUzM2hKN0NpZnZnUDlxRzVBQ2dSdEVrTEluNndqWFlneWp6dG1DTmpGU3d0b2tiTnJYY2E2aHQ4WHBTS3A5Y03SAbwBQVVfeXFMTVRvZEQwbWFfZEotLUtlTFVRT1pyTWxCNGNBM0VLX2hrd2hMcjJnQk5XQzhqYnF4dk5RZkYyWUJnOEE0REp4NkNMUVFSVDQ3WjlzTlltbVdFM0ZoaXZkSUEyU25qWkQxUGV0OFRUVXFSS2xGdm9tN0VCYzJBcTRhWC13TURIQ2NhZDlaZmhpeHdsNl8tdFE1dUdVVnpUNDZ0eWtKSzlSRXM4LWg2anZkZE10MFhmd2cxN2tEYjE?oc=5</t>
  </si>
  <si>
    <t>The sentiment is 'bearish' because a significant increase in oil inventories suggests a surplus of oil supply in the market, which can lead to downward pressure on crude oil prices.</t>
  </si>
  <si>
    <t>Oil Ticks Higher With Trade War and Chinaâ€™s Outlook to the Fore - Bloomberg.com</t>
  </si>
  <si>
    <t>https://news.google.com/rss/articles/CBMioAFBVV95cUxQUE12aG1LNUNWejBjVnVMQmowSXd0czRqZVl4cjVDVkxlcjZaeTFfMzZZNGJpdHpZODZ2UXBMclVERFdDYzVlMGhDdWh2c2tsUGgwZG53c0poWENCQmhfSnFEX241Sk55YzVRU0pCcEtDMmxSaXZzWG8wV3lSOEh0UDVJTmFKZjRrVE01S1pHZmc1aUlvZnA5OWdLSUJNOUhq?oc=5</t>
  </si>
  <si>
    <t>The sentiment is 'bullish' because the headline suggests that oil prices are increasing due to concerns about the trade war and China's economic outlook, implying that market participants are worried about potential supply disruptions and demand growth, which is a positive sign for oil prices.</t>
  </si>
  <si>
    <t>China stockpiles oil as Trump tariff shock hits crude prices</t>
  </si>
  <si>
    <t>https://www.ft.com/content/da1f837e-6f20-468c-93f9-954d441b05d0</t>
  </si>
  <si>
    <t>The sentiment is not 'bullish' because stockpiling oil is a bearish indicator, suggesting China expects lower prices in the future, and the article highlights a "tariff shock" that has already hit crude prices, implying a negative impact on the market.</t>
  </si>
  <si>
    <t>Oil posts weekly fall on tariff worry and rising supplies</t>
  </si>
  <si>
    <t>https://www.reuters.com/markets/commodities/oil-prices-set-weekly-loss-potential-more-global-supply-2025-04-25/</t>
  </si>
  <si>
    <t>The sentiment is 'bearish' because the combination of tariff worries and rising supplies suggests a potential decrease in oil demand and an increase in supply, which would put downward pressure on oil prices.</t>
  </si>
  <si>
    <t>Oil Advances in Risk-On Mood as China Weighs Tariff Exemptions - Bloomberg.com</t>
  </si>
  <si>
    <t>https://news.google.com/rss/articles/CBMioAFBVV95cUxPVjBFbkhIWXlDVm1TYkZuS2RJcVZZRklfYWhObmxiTGNBZEhLYWNhcDRJTzVKZVJRTXlyTnZ0aFJqZ0FnT2xPVFRhVk83cDc4aXFuMWZfSFpqYkFYWnlaRE9GNGlTdF92WXV6SHBHbVcxZDRFNXpobmFZQXpFSFZ4bHE0dF9VdXBVV0swLUZ3Y2tMMW04SDdwVUhQWFQyQ0Nf?oc=5</t>
  </si>
  <si>
    <t>The sentiment is 'bullish' because the headline suggests that oil prices are rising due to a "risk-on mood" and China's consideration of tariff exemptions, which implies a potential increase in demand and a reduction in trade tensions, both of which are positive factors for the oil market.</t>
  </si>
  <si>
    <t>Energy Secretary Tries to Reassure US Oil Bosses Amid Trade War - Bloomberg.com</t>
  </si>
  <si>
    <t>https://news.google.com/rss/articles/CBMitAFBVV95cUxNM29FVGRvZElKUXVwX05na3NNdVlJZmNsN1NzLU01SEhJUHZLcXNTYmpWaVg2UVdQdWhCVmROOGo4VFk1VHQwYl95SWhYdHJjLV9oTDZzTF8tX1lfakJVUm52YTFpaHNqM0JTVjRuZi0xcUJFSllOdzQ5Z3JDTF9DQ3JfUGNtYk9XckUxSmN0QU5vSS14cy1Id2p2U1dWYTJseXMxR1kyVzVZS2dHR3k3MWVhNnM?oc=5</t>
  </si>
  <si>
    <t>The sentiment is 'bullish' because the Energy Secretary's attempt to reassure US oil bosses amid a trade war suggests that the government is taking steps to mitigate potential negative impacts on the oil industry, which could lead to increased confidence and potentially higher prices.</t>
  </si>
  <si>
    <t>Oil Set For Weekly Loss on OPEC Supply Rumors - Crude Oil Prices Today | OilPrice.com</t>
  </si>
  <si>
    <t>https://news.google.com/rss/articles/CBMikgFBVV95cUxPZ3M2Rl90ZmRra2JnNzNtSWoyLS1DRzF0TnBkVF8wT19DYXBGTU1XZmgxSURMVWxFdWhsNzZqR2N6X3BRZ0V3OVBETnIzMGxqWk1BTjBPSnBZMG4zcU5jRU1jVVpHZGJpYzhuSVd1Z00zQmpMR0s4Y1FjVy1ySS1PYmJwMUFmd0doanFhcUVjNV9yQdIBlwFBVV95cUxQRHZxa1h3dDZsdlFxdjhHTW5uNzItMThXbHUxdXJteng2YjZwc2diZ1prTTYxTjZYUmNhZ1BmS09sQjlhci1od1EzaFRibUstY01qN080RlBLWnB3S0JXV1Fxb1VZbWF6TXdCVEZMcERuejUyLTM0TlV6ckRYQ1ZLNjQyRGNuYkViaUtyU0pWZkFqSVZFTldB?oc=5</t>
  </si>
  <si>
    <t>The sentiment is 'bearish' because the headline suggests that oil prices are expected to decline due to rumors of increased OPEC supply, which would put downward pressure on prices, indicating a pessimistic outlook for the market.</t>
  </si>
  <si>
    <t>Oil posts weekly fall on tariff worry and rising supplies - Reuters</t>
  </si>
  <si>
    <t>https://news.google.com/rss/articles/CBMisAFBVV95cUxQai1acFM2STRsUkZBeHVMcFBkOWJaQ05uRmVmTDVZY2JySjhTVGFFYi1BXzBTYkpBZG9EQ1dWUEQ2S3dhaXhQTms5UTQwUGduVE43bVdCRzZsUWhBcTVfTDJvdnJ0NXdfdjdjTjhtQ0pTRXUtZDJIWDVFdVRtSGZNZU9QcHlqTFM0SGVHMTlIRUxlZThrQjFRcmNvWjZUSDhjeFY2RFBZX1BCWHVYVm5iTQ?oc=5</t>
  </si>
  <si>
    <t>The sentiment is 'bearish' because the headline suggests that oil prices are falling due to concerns over tariffs, which could lead to decreased demand, and rising supplies, which could lead to a glut in the market, both of which are negative factors that would likely depress oil prices.</t>
  </si>
  <si>
    <t>Lower oil prices drag UAE markets down</t>
  </si>
  <si>
    <t>https://www.reuters.com/world/middle-east/lower-oil-prices-drag-uae-markets-down-2025-04-25/</t>
  </si>
  <si>
    <t>The sentiment is 'bearish' because lower oil prices typically have a negative impact on the economy of the UAE, which is heavily reliant on oil exports, leading to decreased investor confidence and subsequently lower stock market performance.</t>
  </si>
  <si>
    <t>Oil prices settle up on weaker US dollar, mixed economic news</t>
  </si>
  <si>
    <t>https://www.reuters.com/business/energy/oil-steadies-after-2-drop-potential-opec-output-increase-2025-04-24/</t>
  </si>
  <si>
    <t>The sentiment is 'bullish' because a weaker US dollar makes oil, priced in dollars, cheaper for holders of other currencies, boosting demand and supporting prices, outweighing the mixed economic news.</t>
  </si>
  <si>
    <t>Kazakhstanâ€™s OPEC+ defiance could push Saudi into a painful price war</t>
  </si>
  <si>
    <t>https://www.reuters.com/business/energy/kazakhstans-opec-defiance-could-push-saudi-into-painful-price-war-bousso-2025-04-23/</t>
  </si>
  <si>
    <t>The sentiment is 'bearish' because a price war would likely lead to a surge in global oil supplies, putting downward pressure on prices and benefiting consumers at the expense of oil producers, which could negatively impact the oil market and related assets.</t>
  </si>
  <si>
    <t>Thrive or Survive U.S. Energy Secretary Makes U-Turn on Oil Prices</t>
  </si>
  <si>
    <t>https://oilprice.com/Latest-Energy-News/World-News/Thrive-or-Survive-US-Energy-Secretary-Makes-U-Turn-on-Oil-Prices.html</t>
  </si>
  <si>
    <t>The sentiment is 'bullish' because the U-turn on oil prices by the U.S. Energy Secretary suggests a more optimistic outlook on the demand-supply balance, which could indicate higher prices ahead, benefiting oil producers and investors.</t>
  </si>
  <si>
    <t>Exclusive: OPEC+ to consider another accelerated oil output increase for June</t>
  </si>
  <si>
    <t>https://www.reuters.com/business/energy/opec-consider-another-accelerated-oil-output-increase-june-sources-say-2025-04-23/</t>
  </si>
  <si>
    <t>The sentiment is 'bearish' because an accelerated oil output increase would likely lead to increased supply and downward pressure on oil prices, which would be unfavourable for oil producers and bullish for consumers.</t>
  </si>
  <si>
    <t>LIVE Brent and WTI Oil Prices Recover on Market Optimism - Crude Oil Prices Today | OilPrice.com</t>
  </si>
  <si>
    <t>https://news.google.com/rss/articles/CBMiogFBVV95cUxPX1dWYVZoZFpQOWx4eTBUamtjVF9GUndhYk0tVUhjMXBSVExYU3VaYVlPbzNFV21GaG9EM3JBZUpTSkFGdkh4aEZRejVLMW8wLTJ6bm85MzdpTm5qTVBPalN3Sm1GeVp4NnhyX2E3YUtRNWhYeWx2V0NFY19abnlvQWU5VDBXQWQ5RW41N2I4bEhTV2RUTlJHWE53RWN3S1JqNVHSAacBQVVfeXFMUGV1eWdxd1lkQnhuRllvM25RSmdaUWp6N0tnalJLVVU3YzJoMk9tQ0tZUTZvRTAwQjgyNEdUX1pWc21ULTRzZldEZUpxWGZjNWhxNWpZOG5uZVRXY1hVRWpVWldFbFNrMDhXZ0ZjVE5YM3dYRTVSSHVvd1EtM3ZjOXpfTHlmQ2tPb2lkRjF6S0JvU0lBeFRObUx0MVlzQ29vUkF4d21pMlE?oc=5</t>
  </si>
  <si>
    <t>The sentiment is 'bullish' because the headline explicitly states that oil prices are "recovering" due to "market optimism", implying a positive outlook and upward price momentum in the oil market.</t>
  </si>
  <si>
    <t>WTI Tetap Berada di Atas $62,00, Risiko Penurunan Terus Berlanjut karena Potensi Peningkatan Pasokan OPEC+</t>
  </si>
  <si>
    <t>https://www.fxstreet-id.com/news/wti-tetap-berada-di-atas-62-00-risiko-penurunan-terus-berlanjut-karena-potensi-peningkatan-pasokan-opec-202504240343</t>
  </si>
  <si>
    <t>The sentiment is 'bearish' because the mention of "Risiko Penurunan Terus Berlanjut" (Risk of Continued Decline) and "Peningkatan Pasokan OPEC+" (Increase in OPEC+ Supply) suggests that the price of WTI may drop due to potential supply increases, outweighing the current price level above $62.00.</t>
  </si>
  <si>
    <t>Weak oil prices, limited shale acreage to hit energy M&amp;A in 2025, Enverus says</t>
  </si>
  <si>
    <t>https://www.reuters.com/business/energy/weak-oil-prices-limited-shale-acreage-hit-energy-ma-2025-enverus-says-2025-04-23/</t>
  </si>
  <si>
    <t>The sentiment is 'bearish' because the headline suggests that two significant factors - weak oil prices and limited shale acreage - will negatively impact energy M&amp;A activity in 2025, implying a challenging outlook for the industry.</t>
  </si>
  <si>
    <t>Oil falls 2% after sources say OPEC+ to mull accelerating output</t>
  </si>
  <si>
    <t>https://www.reuters.com/business/energy/oil-rises-1-iran-sanctions-drop-us-crude-stocks-2025-04-23/</t>
  </si>
  <si>
    <t>The sentiment is 'bearish' because the possibility of OPEC+ accelerating output increases supply, which would put downward pressure on oil prices, hence a bearish sentiment.</t>
  </si>
  <si>
    <t>Oil Holds Biggest Loss in Two Weeks With Focus on OPEC+ Supply - Bloomberg.com</t>
  </si>
  <si>
    <t>https://news.google.com/rss/articles/CBMioAFBVV95cUxQcWl2ekxjMlFlek1fdHhsckVsVk5hZEJvZTdEOElSSWFuenJoTU93WkQ0SVBuaVFnS1lETDB6aGJ1OUt4Z1BLcVpUU2JTMzJPMDFBUmZYN1U0RGpsZkJ5Qy1NeU9MZHEtbXJub3NqeTd1WGNkMmVOaFhjdkU0VTNkVVg2LU5uTDUxVW8wOHA0T2F0ejJQTFdOUG5JYTgxcUlH?oc=5</t>
  </si>
  <si>
    <t>The sentiment is 'bearish' because the headline implies that oil prices are experiencing their largest decline in two weeks, suggesting a downward trend in the market, which is typically associated with bearish sentiment.</t>
  </si>
  <si>
    <t>Oil Prices May Fall Further on China Slowdown, IEA Chief Says - Bloomberg.com</t>
  </si>
  <si>
    <t>https://news.google.com/rss/articles/CBMisAFBVV95cUxOVXM3a3VJUGZKckFXeTF2RWU4TUVYNkRIRzFNTzRIU1BNeHY2NlZjUkM0SHE0QkgyTDNfRWpha001ODJWMmtfbnpBT3oxRUduZ2xRcGh2RmRLQnozVXdOcjI3QkxDT1BNWUlIZDc2WmY2NFpheHZrWEdZMW95U0hvSlNJSkcwNHRHVzdyN3VYUjdoNl9RNlRXM2RRbWc3SVY2NmV6eEM0WVE5T3M5MDMxUg?oc=5</t>
  </si>
  <si>
    <t>The sentiment is 'bearish' because the headline suggests that oil prices may decline due to China's slowing economy, implying a potential decrease in oil demand and subsequent downward pressure on prices.</t>
  </si>
  <si>
    <t>Oil Tumbles as Kazakhstan Fuels Concerns Over OPEC+ Rift - Bloomberg.com</t>
  </si>
  <si>
    <t>https://news.google.com/rss/articles/CBMioAFBVV95cUxNOXZZTGFGclJUWnVlUjFpNlRmdHVOTW9TS0hKSWlpMV9tRnRiYkl1ZkN3UkwtSWg5ZUxUMzVOM2J6RzhENHQ5d0JlRG1fTkR2QUJielN2dTFsa08xenctZ2E3TW1BOUJYVUZGUWV2bmFpQV92UERfY1dGNWM2dnBMWXVvUUhwd2dlMDNWNklja3p6bGg5WUZPZnduOFo5aHRS?oc=5</t>
  </si>
  <si>
    <t>The sentiment is 'bearish' because the headline suggests that Kazakhstan's actions are contributing to concerns about a potential rift within OPEC+, which could lead to increased production and downward pressure on oil prices.</t>
  </si>
  <si>
    <t>Oil prices settle up nearly 2% on new Iran sanctions, equities rally</t>
  </si>
  <si>
    <t>https://www.reuters.com/markets/commodities/oil-prices-climb-short-covering-tariff-concerns-linger-2025-04-22/</t>
  </si>
  <si>
    <t>The sentiment is 'bullish' because the introduction of new Iran sanctions implies a potential reduction in global oil supply, which would likely lead to higher prices and a rally in equities, thus supporting the upward momentum in oil prices.</t>
  </si>
  <si>
    <t xml:space="preserve">Oil prices slide as traders brace for extra barrels amid Opec tensions </t>
  </si>
  <si>
    <t>https://www.ft.com/content/a8d8c49d-93f0-4372-9321-2c6b1c4aa7ab</t>
  </si>
  <si>
    <t>The sentiment is 'bearish' because the expectation of extra barrels coming into the market, coupled with Opec tensions, suggests an oversupply of oil, which would put downward pressure on prices.</t>
  </si>
  <si>
    <t>Oil falls 2% after sources say OPEC+ to mull accelerating output - Reuters</t>
  </si>
  <si>
    <t>https://news.google.com/rss/articles/CBMioAFBVV95cUxOb1IwRmk4TGp2ZTFZT21YdllBOUNqcm4tb3ExWXNnbHZfcmRqaDZpcllGWGMwRTBuMlliWTB1Vk1OOUJXalNiM3dsYUdwU1F4dWFmM25HbWF4UmhlaGJ6cThnTlRZTWFjMTE3VDhDZTRfVU1CR2JtbnRLR2J3NmthSy02VzctTGpuZW5nNFMxSEZnSGZvcE56N211bkQ0NEp4?oc=5</t>
  </si>
  <si>
    <t>The sentiment is 'bearish' because the potential increase in oil output by OPEC+ would lead to a surplus in the market, exerting downward pressure on prices, which is a negative development for oil prices.</t>
  </si>
  <si>
    <t>Palm Oil demand from China and India expected to rise as prices become competitive, says MPOC</t>
  </si>
  <si>
    <t>https://www.reuters.com/markets/commodities/palm-oil-demand-china-india-expected-rise-prices-become-competitive-says-mpoc-2025-04-22/</t>
  </si>
  <si>
    <t>The sentiment is not 'bearish' because the expected rise in demand from China and India, prompted by competitive prices, should actually be a positive development for palm oil producers, suggesting a more bullish outlook.</t>
  </si>
  <si>
    <t>Oil Prices Rebound As Inventory Slips - Crude Oil Prices Today | OilPrice.com</t>
  </si>
  <si>
    <t>https://news.google.com/rss/articles/CBMimAFBVV95cUxQVElob0VjS1duOUFYbGJ5RUpET1NEVHJCb3ZnNUIxSGtRTVBvODJCcWRnbl9FNVdxRXZFNmN5aVp1Ry02MTdjM2hJTnRwS1JMRGZRbGZZZFd4b2ViZWFYSWY0S01DX0pSdXBLaFVVTGxyZEVxeXBETF9fdHJ2bE5xemtzYWtvV19KaXVlY0dFZXNpZzNrNXQ0aNIBngFBVV95cUxPQWswaGlqMEZRczRRaEM5ZlBUcGFfR2tuRk1jTjNLVWFmdDBjdUxUNXBzdU1vR2JUZEpiWFFMN0taUUxacVBfdjY1MU5rOVY4VTF3ZWkzQ3k0UXZvTUZjRVE5REFCMW53WGZWNVozdm84dk0tQl9nNXhDYndLUkhUSkgtUXBZLWloVHF0eDNka1JCdl9SUTFKZm8weDUwdw?oc=5</t>
  </si>
  <si>
    <t>The sentiment is 'bullish' because a decline in inventory levels suggests a tightening of supply in the market, which tends to put upward pressure on oil prices.</t>
  </si>
  <si>
    <t>WTI Rebounds 2% on Supply, Geopolitical Shifts</t>
  </si>
  <si>
    <t>The sentiment is 'bullish' because the rebound in WTI prices is driven by positive factors such as supply shifts and geopolitical events, indicating a potential upward trend in oil prices.</t>
  </si>
  <si>
    <t>Exclusive: Russia cuts 2025 energy export income estimate by 15%, document shows</t>
  </si>
  <si>
    <t>https://www.reuters.com/sustainability/boards-policy-regulation/russia-cuts-2025-energy-export-income-estimate-by-15-document-shows-2025-04-22/</t>
  </si>
  <si>
    <t>The sentiment is 'bearish' because a 15% reduction in Russia's energy export income estimate suggests a decline in demand for its energy products, which could lead to a surplus in global energy markets, putting downward pressure on prices.</t>
  </si>
  <si>
    <t>Oil prices settle up nearly 2% on new Iran sanctions, equities rally - Reuters</t>
  </si>
  <si>
    <t>https://news.google.com/rss/articles/CBMirwFBVV95cUxPMExVdG1kNVNqSWhFRlM4VmpWMjhPZ0hqM2FqTkJYemhCYXRVbXRHNUd2UHM2YlF1NGRVekozZ3ZxUTdqWl9DMFNOeVZsUXRCeXl5XzF3RGJqa1hUU0xNVl8xSDNYaUpuY1JXQXpjVElXdmlVenZmeTVpZVNUS3Z4TGRYQkZsU0lYR21FVTJlZmViRmVza3VEbnRHekNtNFVmcWdfbXNTLUEyQmRKWFNv?oc=5</t>
  </si>
  <si>
    <t>The sentiment is 'bullish' because the headline indicates that oil prices are rising, which suggests a positive outlook for oil prices, and the accompanying equities rally suggests a broader market optimism.</t>
  </si>
  <si>
    <t>Oil Steadies as Market Tracks Risk-Off Tone, Trade War Concerns - Bloomberg.com</t>
  </si>
  <si>
    <t>https://news.google.com/rss/articles/CBMioAFBVV95cUxOWXQxSnZacVc1ckg5N2NmV3Z2V2IxanlQU2k5UjNaRGZFSm0xYXZUdEJXeXQycmxtdHZMd2Z5NS1uMU5TOHJpMm1BX2ppeXNlRGJ5dGFBQTVwVm91ZG4yN1lEdlJQYjd5eHBWcklZRGoyUzYwTkp2NWpLMGxfNGFOdnRTNk5Gb0UyNnB4XzdWSWdDbGZkRXR4Zy1meXdxUnps?oc=5</t>
  </si>
  <si>
    <t>The sentiment is 'bearish' because the headline suggests that the market is focused on risk-off tone and trade war concerns, which are typically associated with downward pressure on oil prices.</t>
  </si>
  <si>
    <t xml:space="preserve">Trump tariff talk roils US oil industry in bedrock Republican territory </t>
  </si>
  <si>
    <t>https://www.ft.com/content/0e8d212d-ffa3-4973-9381-65706c687080</t>
  </si>
  <si>
    <t>The sentiment is 'bearish' because the headline suggests that Trump's tariff talk is causing uncertainty and disrupting the US oil industry, which could lead to increased costs, reduced investment, and potential supply chain disruptions, ultimately putting downward pressure on oil prices.</t>
  </si>
  <si>
    <t>Oil falls over 2% on signs of progress in US-Iran talks, demand fears</t>
  </si>
  <si>
    <t>https://www.reuters.com/business/energy/oil-prices-slip-1-after-progress-us-iran-talks-2025-04-20/</t>
  </si>
  <si>
    <t>The sentiment is 'bearish' because the headline indicates that oil prices are falling due to positive developments in US-Iran talks, which could lead to increased oil supply, and heightened concerns about demand, both of which are negative factors for oil prices.</t>
  </si>
  <si>
    <t>Oil Prices Stabilize on Short-Covering and an OPEC Output Decline - Crude Oil Prices Today | OilPrice.com</t>
  </si>
  <si>
    <t>https://news.google.com/rss/articles/CBMivgFBVV95cUxPMDZTLU1yQTdocUx3V25GRks5eGhnc05ENnh1OFZQUVBYVVZONFd0WmZZS1dYOFdFNjhNTmJsM0ZwZm1ROUxNUVI3NHJTa1VObmk3YzF4NmtSNnFGOE5oclpkMVllSXRaOFJKaXVEYTVCV1lSNFdPWEVzV1g2Vkk5S09RajE5OTltbHNVRURQdENvRkpwUjl5VzBwQlpsZGdIa05xRnZHLXUwdGNfMElZNHRUbUhtbHRvOTJ1QkVn0gHDAUFVX3lxTFAtYXpFLTJTS1hrZ3NNT1d4NjVibUFGLWlIaDlPUDJkVXJVRjFCcVVOTHlTaU13SnNCS2NsSTljb00yaWFRcmhDRERUcGhlSFE5cmZiZFBOWnRuS2V1MEZkR3BDejlJejRCRlJza0txWVZndHJYV2ZfSURZaGlQVWZ3NlBWU0FuQXRCODltdVlJcWItMG5VcFd3ZkZLbzZFYTVlaWZaV01OVE5nMldMWkZOeGxLZnZuVngwT3NtZDZ6aFAydw?oc=5</t>
  </si>
  <si>
    <t>The sentiment is 'bullish' because the headline suggests that oil prices are stabilizing due to a combination of short-covering, which implies a reversal of bearish bets, and an OPEC output decline, which is a fundamental bullish factor that can support higher prices.</t>
  </si>
  <si>
    <t>Oil Market Outlook Gets Lost in (Chinese) Translation - Bloomberg.com</t>
  </si>
  <si>
    <t>https://news.google.com/rss/articles/CBMiqAFBVV95cUxPcjdKckF0T3RxQzJ4YS1xdnA4azZnVDZFLWdaSW5YNkRZUFlFRGU4MWU5VGZ2YkF4VUdtTDJ5WGU3aW9kS3h3d3dMLVFKQ2I5aWQyVHJkTWdNSTNUS3lCNHBxOUVyUmJQUU1hUWdiSW5hc1U0bFpfazFPd1QwOXhGRi1SODZ2azN1ZVlzY05tTDdOWXd1YVJSWnppWUE1MkdmWGVYVWs1NDU?oc=5</t>
  </si>
  <si>
    <t>The sentiment is 'neutral/uncertain' because the headline suggests that there is a lack of clarity or mixed signals in the oil market outlook, implying that the analyst is not taking a clear bullish or bearish stance, but rather highlighting the complexity or ambiguity of the current market situation.</t>
  </si>
  <si>
    <t>Oil Prices Begin the Week With a Dip - Crude Oil Prices Today | OilPrice.com</t>
  </si>
  <si>
    <t>https://news.google.com/rss/articles/CBMilwFBVV95cUxOVFpBbEN4M2NXel9SVmM0RWNsNXZYTGN0b2hXb200SUhsMFA4ajl4YnlhV2VzdFE4YWM0MHhHa1FlNXUtR3hwOERCS1FwV2h1NURoemxVTDczXzVqX2V3SWxuQVdXRmg5aTZlM08xdE9SQzdhNnZrMXZ6UVhMZWU2S2lEeDY0RFdVeExpY3pTdnh1MEdYZksw0gGcAUFVX3lxTE14QV9HYzF4YnppQUVaN3k2WTI1LTdJd3ppZnlZek1FYU11NGx0SS1mYXB1eGJGLVUzRUZBUGZQZTJDUzVXald3M2tXU3dmZEttdlk2dk1zSnZsSk5DV1RULXluVlJfRUZGV2c0VTdObEFDOHlfRkhDNGt4c205cHlaOUIwWlpuLTlLcVJlNWFHbWttS2RPVFJWS3VEMA?oc=5</t>
  </si>
  <si>
    <t>The sentiment is 'bearish' because the headline explicitly states that oil prices are dipping, implying a downward trend in the market, which is a characteristic of a bearish sentiment.</t>
  </si>
  <si>
    <t>Oil Futures Give Back Pre-Holiday Gains</t>
  </si>
  <si>
    <t>https://www.wsj.com/finance/commodities-futures/oil-falls-after-iran-says-talks-with-u-s-to-continue-8454b70f</t>
  </si>
  <si>
    <t>The sentiment is 'bearish' because the headline suggests that oil futures prices have retreated from their pre-holiday gains, implying a loss of upward momentum and a potential downward trend in the market.</t>
  </si>
  <si>
    <t>Russia's economy ministry cuts 2025 Brent price forecast by nearly 17%</t>
  </si>
  <si>
    <t>https://www.google.com/url?sa=t&amp;rct=j&amp;q=&amp;esrc=s&amp;source=newssearch&amp;cd=&amp;cad=rja&amp;uact=8&amp;ved=2ahUKEwjPu4jw_LONAxWxslYBHVD8GZA4KBDF9AEoAHoECA4QAQ&amp;url=https%3A%2F%2Fwww.reuters.com%2Fbusiness%2Fenergy%2Frussias-economy-ministry-cuts-2025-brent-price-forecast-by-nearly-17-interfax-2025-04-20%2F&amp;usg=AOvVaw38E8mHW1gqa61bJUhXA_B0&amp;opi=89978449</t>
  </si>
  <si>
    <t>The sentiment is 'bearish' because a reduction in the forecasted Brent price by nearly 17% suggests that the economy ministry has a more pessimistic outlook on the oil market, implying weaker demand, oversupply, or other negative factors that could lead to downward pressure on oil prices.</t>
  </si>
  <si>
    <t>Russia Expects Fewer Exports and Lower Oil Prices This Year - Bloomberg.com</t>
  </si>
  <si>
    <t>https://news.google.com/rss/articles/CBMirwFBVV95cUxNeTI3SEJONUl6cWMzUUVhbVJEeGJ4LUhvOWFzaWp0b1daSlNlRk1xRmFZbEJycm9mUTJubzlTN2NZc1hIOEtzYXFRSlh0MnZoS2czMWhWZW05bmluQzNjWFlRQzNFbjk2eFBidlA0cTZxeGNxTkZ5alFtdXBIV2MwXy1PU2lEM1JTcXM2SHlzYUFpXzdNcGVSeGlCSE9fd016TmZHTlY1SWswQVp4MnBr?oc=5</t>
  </si>
  <si>
    <t>The sentiment is 'bearish' because lower oil prices and fewer exports imply a decrease in demand and revenue for Russia, which could have a negative impact on the country's economy and the oil market as a whole.</t>
  </si>
  <si>
    <t>Oil Prices Down 2% as Markets Scramble for Clarity - Crude Oil Prices Today | OilPrice.com</t>
  </si>
  <si>
    <t>https://news.google.com/rss/articles/CBMiqAFBVV95cUxON0VvUTNXamxHRTRnX0NXSnRQZWhIcXpXdXNsaGRDbFY2MUcwckVXd1dNcmdfcXNqeDJHTGo4ZUlYbTJ4eGRlRFpzRlZseGZxU1c0aS1tVzh0RFFsWFl4LU5YTUhZRW96MzlvQVRzM3VIOVZHYWpIblBUTmVHVG9xSVhaUFVrWlBDcmJXUmNhMXZfZG9KbUtYT1ZYY0V6eUlXY0NnMkZzVlHSAa4BQVVfeXFMTl9vOU1hZGZRaXdsSmNndmN1ZmdmMi1lSklNQUQzd2ViaUd4MzJ6ZkxvSDkxaWt1d0gxYXJfWlZoa01PUUxTenNKRDR6eFc1ME93NnFYcm9IX29fZmpmNUhQTXVLN2RVbDJoNUpfdWxwSWVnWVo1aVhFakM3MmZhODNiV3B5akcyTHN6cms1Yk9UQThocHV0YzEtenFWVTVMUWFnOW1Wb2JxUERIRG1n?oc=5</t>
  </si>
  <si>
    <t>The sentiment is 'bearish' because the headline explicitly states that oil prices are down 2%, indicating a decline in value, which is a bearish movement in the market.</t>
  </si>
  <si>
    <t>Oil Traders Lurch From Praying for Volatility to Drowning in It - Bloomberg.com</t>
  </si>
  <si>
    <t>https://news.google.com/rss/articles/CBMitAFBVV95cUxOY0tYdzE3X0kzaFE2aVFuQVB0WHB0UEZ6aUloMFRrOUFyd2YzQlJZTW9TY2t3NDgtMExZM1VkLWNrZldDVS1KZ2VKTzFLZWVESWVVRWZMLXVyV3lTdzAtdnZudnN4bllzREFOR2ZScjByNXNlLUFURm5zZmdNRVJjdHV6aXA4b2ZFdkp5UTdzQU1rSzltYWJRUFR5cHNTTmlsV19scXpjdHJXc1d6MkFINFFmemw?oc=5</t>
  </si>
  <si>
    <t>The sentiment is 'bearish' because the phrase "drowning in it" implies that the surge in volatility is overwhelming and causing chaos in the oil market, which is typically associated with downward price movements and uncertainty.</t>
  </si>
  <si>
    <t>Oil posts weekly gain on trade deal hopes, new Iran sanctions</t>
  </si>
  <si>
    <t>https://www.reuters.com/business/energy/oil-heads-weekly-rise-us-adds-sanctions-iran-opec-cuts-2025-04-17/</t>
  </si>
  <si>
    <t>The sentiment is 'bullish' because the headline suggests that oil prices have risen due to optimistic expectations around a trade deal, which could boost demand, and the imposition of new sanctions on Iran, which could disrupt supply, combining to create a supportive environment for oil prices.</t>
  </si>
  <si>
    <t>UAE markets track oil prices higher</t>
  </si>
  <si>
    <t>https://www.reuters.com/world/middle-east/uae-markets-track-oil-prices-higher-2025-04-18/</t>
  </si>
  <si>
    <t>The sentiment is 'bullish' because an increase in oil prices typically has a positive impact on the UAE's economy, being a major oil exporter, and thus lifts the country's financial markets.</t>
  </si>
  <si>
    <t>US drillers add oil and gas rigs for first time in four weeks, Baker Hughes says</t>
  </si>
  <si>
    <t>https://www.reuters.com/business/energy/us-drillers-add-oil-gas-rigs-first-time-four-weeks-baker-hughes-says-2025-04-17/</t>
  </si>
  <si>
    <t>The sentiment is 'bullish' because the increase in oil and gas rigs suggests a potential uptick in US oil production, which could lead to increased supply and, in turn, higher revenue for oil companies and a potential boost to the overall energy sector.</t>
  </si>
  <si>
    <t>Oil Rises a Second Day After US Cracks Down on Iranian Supply - Bloomberg.com</t>
  </si>
  <si>
    <t>https://news.google.com/rss/articles/CBMioAFBVV95cUxPMS1EUUtyRmdDazYxdzJyeG1vaVFTM2twZjRkQmQyTm1JRVdtaFB3TGpFQ0R6RWx0NUFaUWo0MG03WEZua3ZPYjgxSjdlb2toMUQtclZzQUpzMjVKeXZmOFNMalNIM1VWREZOSzA3czJ6UUtJZFF0QnFHcThQWFBpWHV2MGs5REI1THVFWG1zZVhINmlIckZ1Q0g3dGdKSFR3?oc=5</t>
  </si>
  <si>
    <t>The sentiment is 'bullish' because the crackdown on Iranian supply would likely lead to a reduction in global oil supply, which would support higher oil prices.</t>
  </si>
  <si>
    <t>Trade turmoilâ€™s oil market bite is already leaving lasting scars</t>
  </si>
  <si>
    <t>https://www.reuters.com/business/energy/trade-turmoils-oil-market-bite-is-already-leaving-lasting-scars-bousso-2025-04-17/</t>
  </si>
  <si>
    <t>The sentiment is 'bearish' because the headline suggests that the impact of trade turmoil on the oil market is not only immediate but also has long-term consequences, implying a persistent and potentially deepening negative effect on oil prices.</t>
  </si>
  <si>
    <t>New U.S. Sanctions Lift Oil Prices to a Weekly Gain - Crude Oil Prices Today | OilPrice.com</t>
  </si>
  <si>
    <t>https://news.google.com/rss/articles/CBMiqAFBVV95cUxNR25oU2pTaHZqemVUbGthSnlLMFlaREdlNTZ2MEl5Q2dWTTFCWUZVS05qMXI2dVZjdGhLUHZkV3I3aXZFdEQ4SUtuTUZKblRTTFdqSjdTamhtWXpGeG0zRjhsd2hTTDMwaXloakl1eDdVaWpaZk9GSU5VVmhGUVRPb0REMkN3U3cwSklYeHJTeHlVM0ZnYWVNTEowdmp3bFVmeEFGUXI4YkbSAa4BQVVfeXFMTTY5cGZVUW90R3VuaUNBT2R4RVBkdlRBNDdja0c4ZjRSajZSQjBfZzBuWGFwUWtuV05LMEQzM1hJek5MSmF4VXdlRG42cmp0VndXRzFpZGNKTGVrZHA5VjhFb29OTWUwc3lJQUVUbUg4eTkyS1E2dm5yZXhjZ193blkzbzhjTmRwOVFzUWZTOFhkMlRHMHR3QkxmMTdsdHQzS2x2TlJqWmJnemhmVTdR?oc=5</t>
  </si>
  <si>
    <t>The sentiment is 'bullish' because the implementation of new U.S. sanctions is likely to reduce global oil supplies, thereby increasing prices and boosting the value of oil investments, which is a positive development for oil producers and investors.</t>
  </si>
  <si>
    <t>Oil up 2% to a 2-week high as new US sanctions target Iran's exports</t>
  </si>
  <si>
    <t>https://www.reuters.com/business/energy/oil-subdued-markets-assess-effects-trade-war-2025-04-16/</t>
  </si>
  <si>
    <t>The sentiment is 'bullish' because the implementation of new US sanctions targeting Iran's exports is likely to reduce global oil supply, which would support higher prices and contribute to the 2% increase to a 2-week high.</t>
  </si>
  <si>
    <t>Oil Watchers Rip Up Their Outlooks in Expectation of Demand Hit - Bloomberg.com</t>
  </si>
  <si>
    <t>https://news.google.com/rss/articles/CBMitAFBVV95cUxQLTBDTUVuTk5tVDlTMlozR2cwOUFsWmlZNl9SVEFGaGVhN2VtMXZweHJreVF6cUpQMzB5ZXA0SEtJdnFMS1JlbzRPU3hwOXFiYlNPTnFlSU9ONWNKWXZKZ0hFUE0tUjB2elhwcktqRjBibFNEYjFwLVpKa0tTdnlZSnA4WHZDOTNHUjRsVkFGRTJKUlMwWnFzMjN4a01YZ0xVY0N5dXpTVDJTZVlUenhPMEpBLVY?oc=5</t>
  </si>
  <si>
    <t>The sentiment is 'bearish' because the headline suggests that oil watchers are revising their outlooks downward, implying that they expect a decline in oil demand, which would put downward pressure on oil prices.</t>
  </si>
  <si>
    <t>Oil Prices Reverse Gains as Traders Take a Break - Crude Oil Prices Today | OilPrice.com</t>
  </si>
  <si>
    <t>https://news.google.com/rss/articles/CBMipwFBVV95cUxOU2p2M1ZlRVRpMXQ2RmJBSjAxOHJHTTlsVlhlUm9ia3d2aVBuY2JSV3RSMWlOMTYzZktkY0ZlMGR1X21aRWNRWVNqaEZMYW5KMURVcmg4d3M5V3pLbUtSU0YxWUFMbFU4dDZ4dXdvaEg4SnlHM1pUdHdLVWU5MDZyMzlKX2VXOXNDME83bzNLNmNmX0RmOGh3aVBKQTdkemhKaE9QLW9ub9IBrAFBVV95cUxNLUxQN2lpb2ZRd0ZQVzJ0SFMtX3F5UTFWdFRPMTJNQnhBZk84eERITVhoeU9XMFBvVHpGbWFCcUNVS1VXMTNYRjZYVHR4ZmtqdHRkREJ4RGNkTlEtcGREZDAyNnRJSW52WFBoTGp0Ujg0ajZQRVRKMXBkNzVlTHJxWDY4dUN5eDZOMzBaTFVNb3BkVWp0ZmljZ0taUE12M244NkY4ZlVBVlBuVDI5?oc=5</t>
  </si>
  <si>
    <t>The sentiment is 'bearish' because the headline suggests that oil prices have reversed their gains, implying a downward movement in prices, which is typically associated with bearish market sentiment.</t>
  </si>
  <si>
    <t>Oil up 2% to a 2-week high as new US sanctions target Iran's exports - Reuters</t>
  </si>
  <si>
    <t>https://news.google.com/rss/articles/CBMinAFBVV95cUxOWF9kRC1RSkJnZXJDbVdyNlJZRS1RSW9USEIwTzk5Q2dENnp2OTVRYVhtRHlreVVuNDhJX1lEODNBZENRTnVfU1ptbGFrS0taUTFIRTBBODZKUm01THRONEtGSXd1VTJOV2F5M0VyN1dfRDlhRlhJcEdMNi1fbmVlTXNJa3RfQ2UybnljQjRUUm41TWZkMnRmeXUteW8?oc=5</t>
  </si>
  <si>
    <t>The sentiment is 'bullish' because the imposition of new US sanctions on Iran's oil exports is likely to reduce global oil supply and support oil prices, which is reflected in the 2% increase to a 2-week high mentioned in the headline.</t>
  </si>
  <si>
    <t>Oil Rout Is Crushing Emerging-Market Debt Tied to Crude Prices - Bloomberg.com</t>
  </si>
  <si>
    <t>https://news.google.com/rss/articles/CBMiswFBVV95cUxQNEFPYW5CQkZxWTFnODFLX1Z6XzZQTDJLVG8tdjFFb2E3Z3p2MlNCVVNLRXF2Q1l4dlZ0SUY4Z3NwTm5FM0o1NmVWLUc0aFkzX0wzMG0wS0RxSGNsQjJqTWQwT2g3cXllNllaWlg0RklodTctMC1NMDFKdFlLUUtZSU14OVNpUEZYWWRfdktxLU5Ud0RIVXAwY09oN3Y4ZDg1RDJZT3YxVDd6T05NSHVVcnN1Yw?oc=5</t>
  </si>
  <si>
    <t>The sentiment is 'bearish' because the headline suggests that the decline in oil prices is having a negative impact on emerging-market debt tied to crude prices, implying a pessimistic outlook for investors and economies closely linked to the oil market.</t>
  </si>
  <si>
    <t>Oil Steadies With Glut Expectations, Trade War Souring Outlook - Bloomberg.com</t>
  </si>
  <si>
    <t>https://news.google.com/rss/articles/CBMioAFBVV95cUxQWFZFX01lSE02R0tHNTV1TDhqOW41a3kxbEVEVTctMFZvay14SmJyNm1nU2pWRkxKWktNakxWb21aazZzUVo1Y1NFVUxPOTRpUmFoMzBqV09ENGJmOVFkbDNkWnJIZmRpbmg0aFF4TXZCTzdxSWFjTUVFbnp5RmgtSWZvWldCbGtqblNocnFnNjRkUEZrYURzck1kRkpIZHIw?oc=5</t>
  </si>
  <si>
    <t>The sentiment is 'bearish' because the headline highlights two negative factors, namely expectations of a glut in the market and the impact of the trade war, which suggests that the outlook for oil prices is pessimistic and likely to decline.</t>
  </si>
  <si>
    <t>Oil prices steady as market considers latest US tariff changes</t>
  </si>
  <si>
    <t>https://www.reuters.com/business/energy/oil-prices-rise-potential-us-tariff-exemptions-cars-pick-up-china-crude-imports-2025-04-15/</t>
  </si>
  <si>
    <t>The sentiment is 'unrelated' because the headline does not convey a clear positive or negative emotional tone towards the news, as it simply states a factual update on oil prices without expressing an opinion or emotion.</t>
  </si>
  <si>
    <t>Oil Futures Decouple From Equities to Post Gains - WSJ</t>
  </si>
  <si>
    <t>https://news.google.com/rss/articles/CBMitwFBVV95cUxQNl94VW5tS0JsQ1labmE0TEtFOC03MVVXV0hraS1FdTF1WmdSWWpUS1puaVlqWXliOHZ3RU5LYjM2YnZMdjJ6Tzk2VVdRbDVjX1lWa2RaRVVoN1FKdXNwbVJHc0plM2xOelhCSUQ5MjlYVW9DMXQxM1NtZGt1MlBJVmUxamlpVEdRVFY5WVljSmJCZHFCdFMydk9ZSU1oS3o3WTljaDdobmNWNmxiNmhOV284QTNDbW8?oc=5</t>
  </si>
  <si>
    <t>The sentiment is 'bullish' because the decoupling of oil futures from equities implies that the oil market is driven by fundamentals rather than broader market sentiment, which suggests that oil prices are being supported by robust demand or supply constraints.</t>
  </si>
  <si>
    <t>US places sanctions on Chinese refinery over Iran oil purchases</t>
  </si>
  <si>
    <t>https://www.ft.com/content/18f2d68d-1e6f-4958-b7cb-ca9820ffa486</t>
  </si>
  <si>
    <t>The sentiment is not 'bullish' because the imposition of sanctions on a Chinese refinery over Iran oil purchases is likely to disrupt global oil supplies, potentially driving up prices and benefiting oil producers, which is a bearish scenario for the oil market.</t>
  </si>
  <si>
    <t>Crude Oil Gains 2% on Hopes of Tariff War Truce - Crude Oil Prices Today | OilPrice.com</t>
  </si>
  <si>
    <t>https://news.google.com/rss/articles/CBMipAFBVV95cUxQMElaNEk5QXRmcm84cHg2aDlXZ3pCSzg4czBOTzhHbWdzT0tKZENQWDFMYWlwSlBNSkNrTlcyR05xWlcxTzhsV01hQzBlZUU5YnI3QUYzeFlUYlZWOEdEOXJKR2M1TTVOYTdycGVrUTVDNllncHk2SXhJTWEyd3hZODFpWmlDeVFYWHBYa2NWa2NTRnZZVFg5M3JIc093RmphUmhhaNIBqgFBVV95cUxOTHAycmU1Vmwya05YNks4SzhZX0tGeFl2NVV2QlBsNXlFYUZ1ZGZ3VXc1S0QyaC03UFdqSHl4V2dMQ3liRFdpMnh4bVhLcWtadG1sLTRXeFpoS09raDJKNkFWYUEyTkFJS0EtUVo0WUZhOXM4azQ1YmdGMy1TVkFJVVVnZ2QzOGxFSUFyQkNWYTlSRFJOTTExQmhUV2NQNFhwY1I3Tm9FakNrQQ?oc=5</t>
  </si>
  <si>
    <t>The sentiment is 'bullish' because the headline suggests that crude oil prices are rising due to hopes of a resolution to the tariff war, implying a positive outlook for the oil market.</t>
  </si>
  <si>
    <t>China Pivots From US to Canada for More Oil as Trade War Worsens - Bloomberg.com</t>
  </si>
  <si>
    <t>https://news.google.com/rss/articles/CBMitgFBVV95cUxQNFotMmpYTkFwTzR5Qk5qOFZJSlhMLUhFTFJrQUQ3R1V5NXlQVTYtWDJHbmVzRHVCd1hQQ2hjSUR2MkdSOW5YeEI1RFhmeW5MdWpaU3R5NWNqR3pOUGYzaEt2NFRFMHQ2S1N2d01mbTFZN3ZzNFlTYnIzejFEM204cDBHTnpzSEVmTE1Ca285TDVHNktsSlVZYkE0ZFBycDlUZnh4OHN3TWpDWlNWR1I2UmlGU3kzdw?oc=5</t>
  </si>
  <si>
    <t>The sentiment is 'bullish' because China's pivot to Canada for oil imports suggests a potential increase in demand for Canadian oil, which could support prices and benefit Canadian oil producers, despite the ongoing trade war with the US.</t>
  </si>
  <si>
    <t>Oil rises marginally on tariff exemption, Chinese crude imports</t>
  </si>
  <si>
    <t>https://www.reuters.com/business/energy/oil-prices-flat-us-china-trade-war-weighs-global-growth-outlook-2025-04-14/</t>
  </si>
  <si>
    <t>The sentiment is 'bullish' because the headline mentions two positive factors, namely the tariff exemption and increased Chinese crude imports, which suggest that demand for oil is strong and prices are likely to rise.</t>
  </si>
  <si>
    <t>Pakistan mulls US oil imports to ease trade imbalance, sources say - Reuters</t>
  </si>
  <si>
    <t>https://news.google.com/rss/articles/CBMitAFBVV95cUxOSzlaQUVGRVpKcHczdVlYOUp2bFFuR0xfbzFKaHhuZ0VhemVyY3M3LWxzZC0xc3JnZ05CUGlETlo5WTk0c2c3eTlCY1l2azdqLTVHbUJfQ2Q2cUlnUVRpZVJnTTdlUmx5R25jaGxhdm5XWTdQX2UtUUJzNnlGblJFdDlNS0NfVkh3ZHVjSzlTcFFMY2NyZC0zVVpQMGFvQ0lyU2RtQ1hja1o5OXVfZ1BWS1M2b2Y?oc=5</t>
  </si>
  <si>
    <t>The sentiment is 'bullish' because an increase in oil imports by Pakistan could lead to higher demand and subsequently support oil prices, which would be beneficial for oil producers and exporters.</t>
  </si>
  <si>
    <t>Oil price drop turns up heat on emerging market crude exporters</t>
  </si>
  <si>
    <t>https://www.reuters.com/markets/commodities/oil-price-drop-turns-up-heat-emerging-market-crude-exporters-2025-04-15/</t>
  </si>
  <si>
    <t>The sentiment is 'bearish' because a drop in oil prices typically reduces the revenue and profitability of emerging market crude exporters, putting pressure on their economies and finances.</t>
  </si>
  <si>
    <t>Oil Goes From Bad to Worse in First Takes on 2026 - Bloomberg.com</t>
  </si>
  <si>
    <t>https://news.google.com/rss/articles/CBMipgFBVV95cUxPVldjUFFuYzByYUw5bDJZRlRqNkRpRndRWkJna3RCVEYtMlpXX2NEdS05UWJtSUc3VlduRkZ5TWRIRWpuMDNfOHc5LTZJNWg1NFZlT3Q0VHFiRTJOLThWNmRuVzgySFc4WWFPbktSMUpFR2NoRDFrRG1HZXMtdFJKa2NNbmJOS0ZOYXF2SmxEUTFJRGc0MEl3em45S0N0ZTM1RmpZSmdR?oc=5</t>
  </si>
  <si>
    <t>The sentiment is 'bearish' because the headline suggests that the outlook for oil in 2026 is deteriorating, implying lower prices and a more negative market environment, which would be unfavorable for oil producers and bullish investors.</t>
  </si>
  <si>
    <t>HSBC lowers Brent price forecasts on trade tensions, sluggish oil demand</t>
  </si>
  <si>
    <t>https://www.reuters.com/business/energy/hsbc-lowers-brent-price-forecasts-trade-tensions-sluggish-oil-demand-2025-04-15/</t>
  </si>
  <si>
    <t>The sentiment is 'bearish' because a downward revision in Brent price forecasts by a prominent bank like HSBC suggests a negative outlook on the oil market, implying that the current prices may decline due to the prevailing trade tensions and sluggish oil demand.</t>
  </si>
  <si>
    <t>Iraq to Cut Oil Price in Federal Budget Amid Plummeting Market - Bloomberg.com</t>
  </si>
  <si>
    <t>https://news.google.com/rss/articles/CBMiswFBVV95cUxNRmpfRWN1cW9lTHRBaTFZU2NRbDROT041RS14blJnTlZDRmsxMWhFNUUzaV9ENWt5THdCM3NWeC1uQzduZ2kxeHR4azFjZ1hTcW1JX3ZTWG1VTmlwTmdYWm5tdnpDeldJa255RFVFME8tWHY3Q3RwTlhSTDAyRVBXVGxPTVJMb2hPRVZNdGFpTzBvRUtMc2p3Wk1GcGpxSlFWQ1NXZUZ0MWJha2o5b3BtR2RtOA?oc=5</t>
  </si>
  <si>
    <t>The sentiment is 'bearish' because a reduction in oil price assumptions in Iraq's federal budget implies that the country expects weaker demand and lower prices, which could lead to reduced revenue and a more challenging market environment.</t>
  </si>
  <si>
    <t>Crude Oil Products Inventories Plummet But Oil Prices Still Down - Crude Oil Prices Today | OilPrice.com</t>
  </si>
  <si>
    <t>https://news.google.com/rss/articles/CBMivAFBVV95cUxPanVMWThNYWhKNHJOT3Y4dGxCbndjbzFwR3l0REtzOUFiUGFTSjUtWTd6bEhtanktckpCU2dXMlhTd0VXNVNHS0d1VzQ2RUp0R0pPbTFVSTN1ajlBZ0F5YmJrREZFVjFuZ3RRc3NBckpNRzV6TDdocUdYcXZFMUFoM0FBaHNvMExyNlZJb3Z5SnJtTl9rZFVVMFA1b3RiZVUtX1YzeG1FTVZXbDJQbnRiNk1XTFJxWWo2UEdtZtIBwgFBVV95cUxNMk9RYWR1ZnQxcklPSU9kY2Y2bXBBZi13M25GZXJzQ1V3aUhHNWpxeE9NcGlReUdpd0gyNjdzOHZQaW5rUnZnQmVDeU5Sd0hiOElHRXI4U2pycnNBOG1yOUNrNlVXbUtHNXFJdU9YSVdPM2c1Sl9iZ1p3b2VKTHpIOVhOUEg1aGg5VnE1Z1lRM2R4R19HVlk0aE92S1BxRjBrSkdRcUJGdVlaTDI3czVycEk2REtUcU92Z2pRQ3VVd2Jpdw?oc=5</t>
  </si>
  <si>
    <t>The sentiment is 'bearish' because the headline suggests that despite a significant drop in crude oil product inventories, which would typically be a bullish indicator, oil prices are still declining, implying that the market is not responding positively to the inventory drawdown.</t>
  </si>
  <si>
    <t>JP Morgan cuts oil price forecasts on weak demand, higher output</t>
  </si>
  <si>
    <t>https://www.google.com/url?sa=t&amp;rct=j&amp;q=&amp;esrc=s&amp;source=newssearch&amp;cd=&amp;cad=rja&amp;uact=8&amp;ved=2ahUKEwiZ6qK_xbONAxW0yzgGHTxoFfo4WhDF9AEoAHoECAgQAQ&amp;url=https%3A%2F%2Fwww.reuters.com%2Fmarkets%2Fcommodities%2Fjp-morgan-cuts-oil-price-forecasts-weak-demand-higher-output-2025-04-14%2F&amp;usg=AOvVaw3mj7wE8EFUzx2wk4nvwcVY&amp;opi=89978449</t>
  </si>
  <si>
    <t>The sentiment is 'bearish' because the headline suggests that JP Morgan has reduced its oil price forecasts, implying a downward revision in prices due to weaker demand and increased supply, which is a negative outlook for oil prices.</t>
  </si>
  <si>
    <t>Oil prices steady as market considers latest US tariff changes - Reuters</t>
  </si>
  <si>
    <t>https://news.google.com/rss/articles/CBMiywFBVV95cUxNV25FcXRPdjdaS2ktM2xiQkgyVEJGWVZwdTBxLTlOMG0tNGtUSGpXalphb01BbTF5bnlSTHZaX3JvcW0xaFZrTFVaejZzM1hzOFlMbGdDUFYxTzNrWWpkZ25SN2t0bWMtYjRtTUpiNFdCMWxUajBvLVo3eGdqOVdpWmtrOVpLZGJGdzBxYlRleS1MaG5sajVIdlJvOTFLSnNQZUFWa3h2al9wSXhqMjlFZzEwMllkZTBqdUVtNXY1UG5pYjk1Y19kNUZ4RQ?oc=5</t>
  </si>
  <si>
    <t>The sentiment is 'unrelated' because the headline is simply reporting on the current state of oil prices and the market's reaction to US tariff changes, without expressing a personal opinion or emotion, making it a neutral and factual statement.</t>
  </si>
  <si>
    <t>US oil production to peak by 2027 as shale boom fades, EIA forecasts</t>
  </si>
  <si>
    <t>https://www.reuters.com/business/energy/us-crude-oil-output-peak-by-2027-eia-projects-2025-04-15/</t>
  </si>
  <si>
    <t>The sentiment is 'bearish' because a peak in US oil production implies a decline in future output, which could lead to reduced global supply and higher prices, potentially pressuring the market and negatively impacting oil-related investments.</t>
  </si>
  <si>
    <t>Oil price drop turns up heat on emerging market crude exporters - Reuters</t>
  </si>
  <si>
    <t>https://news.google.com/rss/articles/CBMitwFBVV95cUxOdm9SU0l3MEJBdkFreWhKVi0yTmVUTmpUSmY0NGt6MTM0T1FhYmQ2Y2FDOGdPWGo4b3FBdC1vYndQLU5oQ1g2cHdzeldmenV5RHlWSU54Uml3X2gzUmQwdkRlR2JtX2lEYkdCSHA4MmszWHk1cDBhUkRFRVA3cWFlUkJzQklPd3Awa2pYQktyMFk0eWFHRFdPX2Y4eWlZX3RtMWo1ZjVsd1dEUnZFeEcxa2lrSk5kMmc?oc=5</t>
  </si>
  <si>
    <t>The sentiment is 'bearish' because a decline in oil prices would negatively impact the revenues and economies of emerging market crude exporters, leading to potential economic and financial instability.</t>
  </si>
  <si>
    <t>Oil rises marginally on tariff exemption, Chinese crude imports - Reuters</t>
  </si>
  <si>
    <t>https://news.google.com/rss/articles/CBMitgFBVV95cUxPTHA1QmxkeHJaM2hCRkJfZVNvZGlrYXFfX3MwSTFhd2gyVU54cmFsTDdlbURJRkxqTmNFRS1hR2RkYkEyT3o3QVpGOUl2NU5ZRFpuM1djS1VSN0tPLVJod1ZlRF9yQkdndjUtdzl5WUkyeHBWVGxsVmczWGt2ZUdwV0ZITU4tZ3pweHFXWGY0a0RYbVJWa0s2ZWt5ZTlXcENoNVVWY3F0SzFnTG13eXhVcDEwSE91Zw?oc=5</t>
  </si>
  <si>
    <t>The sentiment is 'bullish' because the headline suggests that oil prices have risen, albeit marginally, due to positive factors such as tariff exemptions and increased Chinese crude imports, indicating a slight improvement in demand.</t>
  </si>
  <si>
    <t>OPEC Cuts Oil Demand Forecasts This Year and Next Amid Trade War - Bloomberg.com</t>
  </si>
  <si>
    <t>https://news.google.com/rss/articles/CBMitgFBVV95cUxOazRVNjN3a0J0Zk10R1dDVG9wUzFqTDRneC1EOGUzYVZMaVhMRmVXa1YybXpBaDJIODVYSld2enpoZGlTeTdnNVZqeldYbXRIOFlqWEZhNm1pYTVtWllPOExweE5tOE9YVXN3N29RV2hvVkJTV2RndVdLdzJFVERMMEludnZ4ek9ubXZ6TFdySUpmUHdqX1ZrWGF2TlA5cGNia1IzZnZTaUVyMEo5aXBTZmNXeGF3Zw?oc=5</t>
  </si>
  <si>
    <t>The sentiment is 'bearish' because a cut in oil demand forecasts by OPEC, a key player in the oil market, implies reduced global oil consumption, which would put downward pressure on oil prices and negatively impact oil producers and related industries.</t>
  </si>
  <si>
    <t>Oil at $60 Priced In No Demand Growth This Year, Gunvor Says - Bloomberg.com</t>
  </si>
  <si>
    <t>https://news.google.com/rss/articles/CBMirgFBVV95cUxOYTNtOVNlcnV6R005bk5MdFBMYnlSZm14bHI4UjJ2am4xZkNfa1VSeThCd1kwM1luRHN6UzRHNmRmcEh5VzRra3ZQM3c3NzU3SGNIUUl4cDFrR1VZb29HTEtSUnNIcVFTTmdBV3hJUGZNQW03bmtnU29qcG1PbFZ0cUhIcTFtZGdiWTVtTFdDN19xTDJZY09sWlJBbDFoTk9DemVvVlNjelQ0ZmlMSFE?oc=5</t>
  </si>
  <si>
    <t>The sentiment is 'bearish' because the statement implies that the current oil price of $60 already reflects no demand growth this year, suggesting that there is no upside potential for oil prices and potentially even room for decline if demand growth actually falls short of expectations.</t>
  </si>
  <si>
    <t>Oil Steady after Trumpâ€™s Tariff Reprieve and US-Iran Talks - Bloomberg.com</t>
  </si>
  <si>
    <t>https://news.google.com/rss/articles/CBMioAFBVV95cUxPUi1EcWFwVVpPbnhVeE5OVEhSQlZ6eEFLOHJSUGpHZllkdFk5ZUY4V0NOUmRwdTRDT1hHVzhjV3FXREhxMElCMW9Bbm5lMUttbUpHaV9vazNHRzRvWEFKT1lGd2JJNk1DNXFTUS1PS25xYlB2RmdrY3VqWVR3MjVIa0VINWxEWF90b291MVpqVlI5aHJpQUVxV25VT19Bam13?oc=5</t>
  </si>
  <si>
    <t>The sentiment is 'unrelated' because the headline does not convey a clear positive, negative, or neutral tone towards the oil market, instead, it simply reports on two separate events that may have an impact on the oil market without expressing an opinion or emotion.</t>
  </si>
  <si>
    <t>OPEC cuts global oil demand growth forecasts, citing US tariffs</t>
  </si>
  <si>
    <t>https://www.reuters.com/business/energy/opec-cuts-2025-global-oil-demand-growth-forecast-citing-us-tariffs-2025-04-14/</t>
  </si>
  <si>
    <t>The sentiment is 'bearish' because a lowered demand forecast implies a potential oversupply of oil in the market, which could lead to downward pressure on oil prices.</t>
  </si>
  <si>
    <t>Chinaâ€™s Commodities Imports Shrink Bar Oil as Trade Woes Worsen - Bloomberg.com</t>
  </si>
  <si>
    <t>https://news.google.com/rss/articles/CBMitAFBVV95cUxQeWJGTjVjYWFRbmpfbjljTEEwQk5GWXlYSldlMXlPN2k0UVZLX2M0R3AyVUtvdXlBV3EwSGRhMVBXTnE0Q2RBN0p1VmFQV3BFUUtOVzJNNWNEWE5vZzlROVd0dU51OGZ2dXctNkwySDdQNXAwNGptTTlQc0w5YUJYVDRmLUt2ME01Wl9iZkRGRFVHTzFxeTdvLUU5eW9NWFcyeTFPNGxHMTduRElEMXVCVUFsU0g?oc=5</t>
  </si>
  <si>
    <t>The sentiment is 'bearish' because the headline suggests that China's reduced imports of commodities, excluding oil, may be a sign of a broader economic slowdown, which could eventually impact oil demand and lead to lower prices.</t>
  </si>
  <si>
    <t>Goldman Sachs expects oil prices to decline through 2026 - Reuters</t>
  </si>
  <si>
    <t>https://news.google.com/rss/articles/CBMirgFBVV95cUxONnQtVEEwanBwc3JDTXI0bzZiaHNSR1o4NFdSUC1qUUJYLThSckV5MTJZbXp1VHNQQnB5bzNZZGtnWEVpdEp4TENEVEtxV0Rxc0Nkb0hYNE1MLTRCQkttMndkVkhUWm90NW1WNUxKV2NZLW5UTGxDTndPQlZ3dHRMSUFLZ2VHYWV5Wjh4ZnJ2RDVPYWNDSVhvQlhUVTNEdXR0TWFfdk0wcTM3Um1Ua1E?oc=5</t>
  </si>
  <si>
    <t>The sentiment is 'bearish' because a decline in oil prices as expected by Goldman Sachs would negatively impact the revenue and profitability of oil producers and related industries, which is a bearish outlook for the sector.</t>
  </si>
  <si>
    <t>Oil Outlook Takes a Beating from Trade War Jitters - Crude Oil Prices Today | OilPrice.com</t>
  </si>
  <si>
    <t>https://news.google.com/rss/articles/CBMimAFBVV95cUxPM0JhYlNrWjh1SHZwbWlhUUQtTkE2aloyZUI5ZW5wSzA2VHkteXpONFpxWHRJcUJaZVdJOVRadlZJdmF3S3lFa3hmLVFmdFNNdVd0R1BuVjB3UzlZUXdwdFVsWmt6ZWUtRk5zeVRGekFtR2xUZzUwcmg3SHFpWkkzYm9UalNIMmJ2RVhiUjZNaW9SVEpreF9EaNIBngFBVV95cUxPNE9lNDdLV1llN1pST2FQZkZuUS0tRTdYNU5nMWN3T2VYWUNBUjBrdnVnaGVBa2xrMjZMVzBlN29DWlRSUGxlZjdEVGg4b0RPQ0JyWVJ4WEJyZlBpWEwxLUwwRlYtWjRFQU5lekFmTmlLME9YQ3NUUkJIM1JEZFFVM2tsdXRjQ0x1alRTMDZGa215NnJNWXNTdFJObWN3Zw?oc=5</t>
  </si>
  <si>
    <t>The sentiment is 'bearish' because the headline explicitly mentions a negative impact on oil prices from trade war jitters, implying a downward pressure on crude oil prices, which is a bearish indicator.</t>
  </si>
  <si>
    <t>Brent, WTI prices climb more $1 on possible Iran crude restriction</t>
  </si>
  <si>
    <t>https://www.reuters.com/business/energy/oil-prices-set-drop-second-week-us-china-trade-war-cut-demand-2025-04-11/</t>
  </si>
  <si>
    <t>The sentiment is 'bullish' because the possibility of Iran crude restriction implies a potential supply constraint, which would likely lead to higher oil prices, making it a positive development for oil prices.</t>
  </si>
  <si>
    <t>Lower oil prices could sink Ecopetrol's full-year profits by $2.8 billion, president warns</t>
  </si>
  <si>
    <t>https://www.google.com/url?sa=t&amp;rct=j&amp;q=&amp;esrc=s&amp;source=newssearch&amp;cd=&amp;cad=rja&amp;uact=8&amp;ved=2ahUKEwiZ6qK_xbONAxW0yzgGHTxoFfo4WhDF9AEoAHoECBEQAQ&amp;url=https%3A%2F%2Fwww.reuters.com%2Fbusiness%2Fenergy%2Flower-oil-prices-could-sink-ecopetrols-full-year-profits-by-28-billion-president-2025-04-11%2F&amp;usg=AOvVaw2Zv8kt0NsVkMwe0o0yXTJj&amp;opi=89978449</t>
  </si>
  <si>
    <t>The sentiment is 'bearish' because the headline explicitly states that lower oil prices could lead to a significant decline in Ecopetrol's profits, which would negatively impact the company's financial performance and potentially lead to a downturn in its stock price.</t>
  </si>
  <si>
    <t>US energy secretary says we can stop Iran's oil exports</t>
  </si>
  <si>
    <t>https://www.reuters.com/business/energy/us-energy-secretary-says-we-can-stop-irans-oil-exports-2025-04-11/</t>
  </si>
  <si>
    <t>The sentiment is 'bullish' because a halt in Iran's oil exports would likely lead to a significant reduction in global oil supply, which would put upward pressure on oil prices and benefit oil-producing countries and companies.</t>
  </si>
  <si>
    <t>Vladimir Putinâ€™s war chest under threat as oil prices slide</t>
  </si>
  <si>
    <t>https://www.ft.com/content/44b5046f-f916-4c13-af06-805c9373d5e8</t>
  </si>
  <si>
    <t>The sentiment is 'bearish' because a decline in oil prices could negatively impact Russia's oil-export dependent economy, reducing the country's revenue and subsequently Putin's ability to fund his geopolitical ambitions.</t>
  </si>
  <si>
    <t>Uncertainty Is Overshadowing Fundamentals in Oil Markets - Crude Oil Prices Today | OilPrice.com</t>
  </si>
  <si>
    <t>https://news.google.com/rss/articles/CBMipwFBVV95cUxOZndzSktVOGRwXzlTcDA1aFVSdVFyaUx3TTBBeFFpZlBOLW1wc2k2OUkzWU51Zzg4OXQ1Q1Bld1NVMi1ycXVsVllKWkhSNWx1dFNTUVY0QUdVWUV0bHg1bkl6OFlDT1ljZzFVbW9wU2VxWU1sN25YaldYYzRtOUxxLUhDTzRPVG5hUzlwcFBzQTJRZTFQTzBzNmd5VnNfR3g3T2EzRUtEQdIBrAFBVV95cUxPZERBLVhwaGdVSXRyR0xGWlBxb2pYeF9hUzdMYzRlWlZmSEFfY0FNMDlWTXVKRTNRMzBuc1Q0UnRvc3NKYlZJZWNOSlhzRm5MVC1CVmJMcHV4bWhDZ0NhcG1hWnl2NmEwaFpvSExEenNuRFJsbDktXzZ2ekFTX3UtSlM2WXRneHRrT0J1aU9lRk9Qb2JxNWg4cHZzSXBlT19abjJpTExaZEd4Y18y?oc=5</t>
  </si>
  <si>
    <t>The sentiment is 'neutral/uncertain' because the headline acknowledges that uncertainty is impacting the market, implying that the usual drivers of oil prices (fundamentals) are being overshadowed, which suggests that the current market situation is unpredictable and lacks a clear direction.</t>
  </si>
  <si>
    <t>Oil Prices Are on Course for Another Weekly Slump - Crude Oil Prices Today | OilPrice.com</t>
  </si>
  <si>
    <t>https://news.google.com/rss/articles/CBMiqAFBVV95cUxNdkdLS0Q4U2d2eThiTmZyM0s4Nl9DaUN3cjdZOUVkc0UtZkhDc0RtOVJudVMtcnJGUEw3d19YQmZnLUtNWXh0aFBLMTQ4Y04zcnlTVDZyUkJqZG9LbWlQc0ozbGk5YzFzZWQ0TUVISzltSnQ1QnYtN0VwdUJyRW1XdXlTbnRBcWtwX2lOWnNqSGw5QVc1WmxFbW5ZekdyQVpZQjdJT0dBdk3SAa4BQVVfeXFMUFB5eXpObWNRSWRKLWpmSldmZWljUS1kMU9lNjU3RVVWM1FHVFpGVEhuX1pkVE9kNENMNkhSOW5GMkhnbWVLVXpVUVBEZ1lYZ2ZVWlpYNkt0TGwxbzZLd1puVHlIc0hvWE8zU1hPRUFaQWU0NmROZ3V2STczbS1NU01CaEVYUFZDNG9MMHJBR24xUjIxSVlvY09QWDJmYUdJVXJMaTBHTzRuSGJGSlBR?oc=5</t>
  </si>
  <si>
    <t>The sentiment is 'bearish' because the headline explicitly states that oil prices are on course for a weekly slump, indicating a downward trend in prices, which would be unfavorable for oil producers and bullish for consumers.</t>
  </si>
  <si>
    <t>Oil producers seek to shore up finances amid crude price plunge</t>
  </si>
  <si>
    <t>https://www.reuters.com/markets/commodities/oil-producers-seek-shore-up-finances-amid-crude-price-plunge-2025-04-11/</t>
  </si>
  <si>
    <t>The sentiment is 'bearish' because the headline suggests that oil producers are struggling to cope with the current market conditions, implying that the downturn in crude prices is having a negative impact on their financial stability and profitability.</t>
  </si>
  <si>
    <t>Saudi crude to China to surge in May after price fall, sources say</t>
  </si>
  <si>
    <t>https://www.reuters.com/markets/commodities/saudi-crude-china-surge-may-after-price-fall-sources-say-2025-04-11/</t>
  </si>
  <si>
    <t>The sentiment is 'bullish' because an increase in Saudi crude exports to China implies higher demand and potentially tighter global supplies, which could support oil prices and benefit oil producers and stakeholders.</t>
  </si>
  <si>
    <t>Brent, WTI prices climb more $1 on possible Iran crude restriction - Reuters</t>
  </si>
  <si>
    <t>https://news.google.com/rss/articles/CBMiswFBVV95cUxQcHNMWHI5dzlWVW1udDlWZ2dxLVZaVEtSU3BDSEkyVlAyNVc4dDhCd08xUDNkOG0zZzZJaU1oNnB2QjF2RVVaVWMzUWh2YUJ0SVBUZ3FlaUNWc0RzcDQ5b3c5U0M1Ulhlb0JKRE9fdVVFYTd3b0pmbzIyU080alN6c19WcnN4RGY4YnhIV0xTUG9xcDQzUWhwR0ktekd4dVhhczk1ZUZLamZUN1lZRVFTdHpETQ?oc=5</t>
  </si>
  <si>
    <t>The sentiment is 'bullish' because the possible restriction on Iranian crude exports would likely lead to a decrease in global oil supplies, thereby driving up prices and benefiting oil producers and investors.</t>
  </si>
  <si>
    <t>Oil Futures Settle Higher Heading Into Weekend</t>
  </si>
  <si>
    <t>https://www.wsj.com/finance/commodities-futures/oil-falls-amid-jittery-markets-db13530f</t>
  </si>
  <si>
    <t>The sentiment is 'bullish' because the phrase "settle higher" implies an increase in oil prices, which is typically associated with a positive outlook and increasing demand or supply constraints, supporting a bullish market sentiment.</t>
  </si>
  <si>
    <t>US EIA warns of lower oil demand from tariffs and trade uncertainty</t>
  </si>
  <si>
    <t>https://www.reuters.com/business/energy/us-eia-warns-lower-oil-demand-tariffs-trade-uncertainty-2025-04-10/</t>
  </si>
  <si>
    <t>The sentiment is 'bearish' because the headline suggests that tariffs and trade uncertainty may lead to reduced oil demand, which would put downward pressure on oil prices, a bearish outcome for the market.</t>
  </si>
  <si>
    <t>Oil Steadies After Plunge on Concerns Over Trade War Impact - Bloomberg.com</t>
  </si>
  <si>
    <t>https://news.google.com/rss/articles/CBMioAFBVV95cUxPdllqSEh3U0VFV093eFBaT1hBLW0xb01BOHQ1SXV2RlNSckpmbWY4NTVpTnFLQnRsbjdoTjN3ejYzbHFVWTEzSnpNM3g4WU5YVGNrcnVjZWR2OHRVWlZoR015dHpQUlE3akJJQV9JZnRsRVJhVlVMdVBkS0tnZlRyVmViZTJrb2FJdWQ4bE4wMGI4Yk1uUUZyRmlhMks5Z25S?oc=5</t>
  </si>
  <si>
    <t>The sentiment is not 'unrelated' because the headline directly relates to the oil market, as it discusses the impact of trade war concerns on oil prices, which is a critical factor in the oil market analysis.</t>
  </si>
  <si>
    <t>Russian Oil Shipments Shift to Western Tankers as Prices Slump - Bloomberg.com</t>
  </si>
  <si>
    <t>https://news.google.com/rss/articles/CBMitAFBVV95cUxNMVpJT0JySXFoeWNNdVFnQlg0MmluZlFJZXRjN0hEQ1A2ZnpQQThLX25kS1hPT01CbENOc0ExNzQ1OFBqdE80M194anRiZnBOaTBoTU1YSzZiSGJndUYyTVR3ZDJibTZsbHc2SjB6VVRDQ0RKWEQzcEVta0wybVZ6TjJlQUo0ODZxbjBnbmR6UW9wMXktNzk1aFNjbzJpWFdSZ2VIY0FrT0Jza3BtVGY0TXZaT1M?oc=5</t>
  </si>
  <si>
    <t>The sentiment is 'bearish' because the shift to western tankers suggests that Russian oil exports are becoming less lucrative, likely due to decreased demand or increased competition, which would contribute to downward pressure on oil prices.</t>
  </si>
  <si>
    <t>OPEC output hikes, trade wars have US oil producers wary of 'drill baby drill'</t>
  </si>
  <si>
    <t>https://www.google.com/url?sa=t&amp;rct=j&amp;q=&amp;esrc=s&amp;source=newssearch&amp;cd=&amp;cad=rja&amp;uact=8&amp;ved=2ahUKEwiZ6qK_xbONAxW0yzgGHTxoFfo4WhDF9AEoAHoECA4QAQ&amp;url=https%3A%2F%2Fwww.reuters.com%2Fbusiness%2Fenergy%2Fopec-output-hikes-trade-wars-have-us-oil-producers-wary-drill-baby-drill-2025-04-11%2F&amp;usg=AOvVaw1tgc5nxzb1YIAtDyrLcQHW&amp;opi=89978449</t>
  </si>
  <si>
    <t>The sentiment is 'bearish' because the headline suggests that OPEC's increased output and ongoing trade wars are causing uncertainty and hesitation among US oil producers, implying that they may not be as aggressive in increasing production, which could lead to lower oil prices and reduced investment in the sector.</t>
  </si>
  <si>
    <t>Oil settles down over 3% as investors reassess Trump's tariff flip</t>
  </si>
  <si>
    <t>https://www.reuters.com/business/energy/oil-prices-fall-trump-escalates-trade-war-with-china-2025-04-10/</t>
  </si>
  <si>
    <t>The sentiment is 'bearish' because a decline in oil prices of over 3% suggests that investors are becoming increasingly pessimistic about the demand outlook, likely due to concerns that the ongoing trade tensions and tariffs will lead to a slowdown in economic growth and subsequently reduced energy consumption.</t>
  </si>
  <si>
    <t>US shale sector in peril as oil price plunge rattles drillers</t>
  </si>
  <si>
    <t>The sentiment is 'bearish' because the headline suggests that the sharp decline in oil prices is causing significant distress to US shale drillers, implying a negative outlook for the sector's profitability and sustainability.</t>
  </si>
  <si>
    <t xml:space="preserve">US shale sector in peril as oil price plunge rattles drillers </t>
  </si>
  <si>
    <t>https://www.ft.com/content/cd7c043a-1983-4106-b4f9-13d66f951faf</t>
  </si>
  <si>
    <t>The sentiment is 'bearish' because the headline suggests that the US shale sector is facing significant challenges due to the oil price plunge, which implies a negative outlook for the sector and potentially the broader oil market.</t>
  </si>
  <si>
    <t>US Slashes Its Outlook for Global Oil Demand Growth in 2025 - Bloomberg.com</t>
  </si>
  <si>
    <t>https://news.google.com/rss/articles/CBMirwFBVV95cUxNN3NmaUdkSHhvbG53WnJiODEyNW1VWWpOX0U1eUFwYklQR2ZpMklaWjZscW5VZmhtSXhDSVNSOWw4WGZhNjN5WkN1RTUxYkZIR3A2QmhrU09qSGFJQVZXSjdpazFiREtiU3VUc3VkVEpFTXQzQV9kQkFRcmZFbFo0R3BWYXdJY2xNZUk1clRucmJ2WWpoSVJ1d1FhZ0xic3YwVWNHVUJzOFVrc3pRVjk4?oc=5</t>
  </si>
  <si>
    <t>The sentiment is 'bearish' because a reduction in expected global oil demand growth would likely lead to lower prices and reduced revenue for oil producers, which would have a negative impact on the industry as a whole.</t>
  </si>
  <si>
    <t>Oil Returns to Losses as Market Concerns Over Trade War Persist - Bloomberg.com</t>
  </si>
  <si>
    <t>https://news.google.com/rss/articles/CBMioAFBVV95cUxOZzVSaFNvTWVMNFE2N3FEQ0dGdUdQeFN5ZjRZTEltQ3otLUU0STlMYkJUaDhpWFZzczBSbWNuVXVPSkVlY0E3bGpESXA0TUVDaGZjMkRtQUY0NExwYzlwNE11b19BZFpHTXZaQkFkT3hDTkQ5Z2pOSGV6ZDdVM25QOGNUODZiTlNPUXVJXzdGckdXTXpsMGxpbUdnellSUl9X?oc=5</t>
  </si>
  <si>
    <t>The sentiment is 'bearish' because the headline suggests that oil prices are falling due to ongoing concerns about the trade war, which implies a negative outlook for oil demand and prices.</t>
  </si>
  <si>
    <t>Oil settles down over 3% as investors reassess Trump's tariff flip - Reuters</t>
  </si>
  <si>
    <t>https://news.google.com/rss/articles/CBMipwFBVV95cUxOUlJROE1oeHUyMldmT0lTM0x3US1RMWZNbXhOU3U2dmt0eGl1M1lFZGVlZkp5b0pCN1lWeGY5ckpSQjVNQmFZc1IzMmgxRGY1WXh0QTBKd1pwREVRUG9hdHFmQWZmbmhMR3dWZEFkSlR2MDl3cHRyTmlKYzM2eVFQQ0Jhbjd6cDVqaTdTMV94TGk0MWhFLTJpYklJZUdSNmI5QS1TRE94Yw?oc=5</t>
  </si>
  <si>
    <t>The sentiment is 'bearish' because the headline suggests that oil prices fell by over 3% due to investors reassessing Trump's tariff policies, implying a negative impact on oil demand and consequently lower prices.</t>
  </si>
  <si>
    <t>Oil producers seek to shore up finances amid crude price plunge - Reuters</t>
  </si>
  <si>
    <t>https://news.google.com/rss/articles/CBMitwFBVV95cUxOb0RWbURCbXFPbkNBSE9wVHJ0XzY3cnpJamtKTW5SV2lBZFBPNEVkeUlIZW5WdkNTQWxSYkZKSVc5YVhvOEFzcVZMWW1XUVlQT05OblBLak5lR3ZoMDRfcWRsbk1USnV0VGpWN2h0ZmE4eFAyS2VtdXdJYWhvSWpNd3hyYVdQWFVhT1FVcjl1WHVuYWxsLXRYN0dTb1NVQmV2UTBBMnVxamd4UnJJeGVleFYwTW5qSkk?oc=5</t>
  </si>
  <si>
    <t>The sentiment is 'bearish' because the phrase "seek to shore up finances" implies that oil producers are struggling to cope with the financial impact of low crude prices, which suggests a negative outlook for the industry.</t>
  </si>
  <si>
    <t>Latest Trade War Shot Sends Oil Prices Lower - Crude Oil Prices Today | OilPrice.com</t>
  </si>
  <si>
    <t>https://news.google.com/rss/articles/CBMiogFBVV95cUxQaVBmZzZxOHFLOFlpNHZLeXN1VFdDMVg4ekxXb1F6SmpBeHFLNG5ENG5aeDk5LTU5T1FoaDZxWUxjU2twTDh5MWJXbFo3NV9FQW15a2xYRm1Tb2VZT2pjczhzcDN4eXg4X2tDOHlMQjdFbm5YWmlxdWRuYjFkZkRDSUl4NUlUdER4aDhveC1zWnNmVm40LUdxQVhQYlNXdk90UFHSAacBQVVfeXFMTXZncHk5SVZDN3laaHRNOWRrdnN2Uk1ZMkpaeGhJNTY3Smw5SVZpeGFHNlJselYwcWw0ek9LUUpwZlVxVGVwVjVZb0VfeGNTSzlfMTY3NG55SnJPcGRxNTV4dUFvdENUNTdWRi15QWxFendpby1MMTBUdWFiR3M4TWYtbzZUdXVCR2xsODFOVlNpRHY1VUtMdE51VWxzamZBYVVGOW5LUDA?oc=5</t>
  </si>
  <si>
    <t>The sentiment is 'bearish' because the headline explicitly states that the latest trade war development has caused oil prices to decline, implying a negative impact on the oil market.</t>
  </si>
  <si>
    <t>Venezuela's oil flows again, after a week of panic</t>
  </si>
  <si>
    <t>https://www.reuters.com/markets/commodities/venezuelas-oil-flows-again-after-week-panic-2025-04-09/</t>
  </si>
  <si>
    <t>The sentiment is not 'bearish' because a week of panic suggests that the brief disruption to oil flows was a bullish event that has now been resolved, resulting in a relief rally that should boost oil prices.</t>
  </si>
  <si>
    <t>Oil moves closer to stocks in 2025 as Trump tariffs roil markets</t>
  </si>
  <si>
    <t>https://www.reuters.com/business/energy/oil-moves-closer-stocks-2025-trump-tariffs-roil-markets-2025-04-10/</t>
  </si>
  <si>
    <t>The sentiment is 'bearish' because the headline suggests that Trump's tariffs are causing market instability, which is likely to negatively impact oil prices, implying a downward pressure on the market.</t>
  </si>
  <si>
    <t>US producers face tough choices on growth, capital returns as oil falls below $60</t>
  </si>
  <si>
    <t>https://www.reuters.com/business/energy/us-producers-face-tough-choices-growth-capital-returns-oil-falls-below-60-2025-04-09/</t>
  </si>
  <si>
    <t>The sentiment is 'bearish' because the headline suggests that US oil producers are facing difficult decisions due to declining oil prices, which implies a negative outlook for the oil industry and its stakeholders.</t>
  </si>
  <si>
    <t>Texas Oil Executives Are Frustrated at Trump for Crushing Crude Prices - Bloomberg.com</t>
  </si>
  <si>
    <t>https://news.google.com/rss/articles/CBMiswFBVV95cUxOeU5kN0k5LUdSY2tuRWVwemVCY2NUanViWExTX1VYdXBrZVduVklQS3VkUmp6MHBydGgycm1ibjB4ZXdYcG9uaTlQUUE0X19yTXRnOHhNRDdHR3pRY09EaFJZQmRXbnR1bzNmLVhzX1lSaEZzTHFjNFBBLUpncUhhbEZkcUstMUhUTDRHeDNPeXZpMlBmblJhOWFjWTZHUl9fU2JocVFiTjY5a3pVQmwxYXprZw?oc=5</t>
  </si>
  <si>
    <t>The sentiment is 'bearish' because the headline suggests that Trump's actions are negatively impacting crude oil prices, which implies a downward pressure on the market, aligning with a bearish outlook.</t>
  </si>
  <si>
    <t>Oil Prices Drop to Lowest Level Since Pandemic as Trade War Accelerates - Crude Oil Prices Today | OilPrice.com</t>
  </si>
  <si>
    <t>https://news.google.com/rss/articles/CBMitgFBVV95cUxOc2JEaXROUTY2UVlFazF1RlFaLWItR1lpMENJUHBZT3dJR2Y4UzhXRHk0Y3R0MVVtSUVRWEl6czVXdWFrZUUxMlR3dEpBNTlFNk1xLUZlc3lVT3ZnZkxZSjRfYlVoM3JjdkM5MUd1R3hjUl9Hb2Y4RFkzYnVLVjVEaVJtYTcyZmVnUkxXWGl2bktJcUNqN0pMeTJENHRtb3lWVDgwTXl4V0dYR21TeHNfZXJ3NmRtZ9IBuwFBVV95cUxNWk5KWldGQlY1XzFIb0JTNDlRZW9rWGJpcGpNbTJZdmczdXZOMjZLa1N6Vmd2ZjZfSTUtZFg3UE4zeXQ4eGlGaEZHNWRrOFRoUm1WOEtYdDlPVGpKYjFUUUFvS0Q3Y2lmWkdtejdtSTBUMl8zcFFzTUp1NGhrVWUxc0hvblNZRDFwbTlfaGVOTm4tWm9JX2JEVVRmbnRXVHVFSXlYRm1IcTJVQ0FBWHFPTWVOdW5oN2lNZW1N?oc=5</t>
  </si>
  <si>
    <t>The sentiment is 'bearish' because the headline explicitly states that oil prices have dropped to their lowest level since the pandemic, implying a downward trend in prices, which is typically associated with a bearish outlook.</t>
  </si>
  <si>
    <t>Standard Chartered Time To Dial Down the Oil Panic - Crude Oil Prices Today | OilPrice.com</t>
  </si>
  <si>
    <t>https://news.google.com/rss/articles/CBMimAFBVV95cUxQdVYyN1pkTll1TVBiVGhhMnBEbEVNU0psM0ZLa2hQdWZsTkRUNzVBbkpocTVLZ1VpejI2b1hiLXlrQXRIcFNCZHNPVWNrdy1YLXNsQXkzYThPb0dHa29hOThPamo0QmZILWE4R0haX2tCYWlmNE1TSFhkaFdfLWJtVFRqV3ZhUjZkYlhCREpJVmRjRXloUnNnVdIBngFBVV95cUxOcTE3SS02MEtWdVFsanY2NEI0QWNTeklPeFJIaU41c1I2Y2hsMVdHelljeURadDJUTXVzcThIc1NhM0JMY0R0aXhmcXg1MUVCeGYya2x2cGNBRU43Rkg4dVhyT0E4UEYxTVdmeW9xZ0YtNzVWb3BtMXJQbEZ5OHk2T0lwbVdoMVNhSTRpZHZzbnVZMUdzZ2Z5ekVVblgxQQ?oc=5</t>
  </si>
  <si>
    <t>The sentiment is 'bullish' because the headline suggests that the current oil price panic is unwarranted and that prices should stabilize or decline, implying that the market has overreacted and a correction is due.</t>
  </si>
  <si>
    <t>Oil Bounces as Trump Holds Off Some Tariffs for 90 Days</t>
  </si>
  <si>
    <t>https://www.msn.com/en-us/money/markets/oil-futures-fall-on-worries-over-u-s-tariffs-impact-on-demand/ar-AA1CyCxi?ocid=finance-verthp-feeds</t>
  </si>
  <si>
    <t>The sentiment is 'bullish' because the temporary reprieve from tariffs is seen as a positive development for the global economy, which is likely to boost oil demand and support prices.</t>
  </si>
  <si>
    <t>Airlines and Shippers Pounce on Oil Plunge to Lock in Prices - Bloomberg.com</t>
  </si>
  <si>
    <t>https://news.google.com/rss/articles/CBMisAFBVV95cUxNbGpfMUlrbnc2QXJoOElXcnoxS3V2aXRkbUpfSWVKSGZlRncxQ3FQaE5VTlFiQmpTQTYwX3NjeWNrRFJRMnNIdkdTQlRjWjdkaUxYRVYwcjF1MklvX1VpcGpIZEhaS3c4YjJrTllXZ1dxWDk2NHl1ZHhmcEhWRFR2cnJKVXhEcVIzeXJtODFDVkNQbk5YQVotSEJSVEt6dFF4LVZWRXlMOGxnOHJCWWVfTA?oc=5</t>
  </si>
  <si>
    <t>The sentiment is 'bearish' because the headline suggests that airlines and shippers are taking advantage of low oil prices to lock in future supplies, implying that they expect prices to fall further or remain low for an extended period, which is a bearish outlook for the oil market.</t>
  </si>
  <si>
    <t>COMMODITIES Energy, metals and grains surge after Trump tariff pause - Reuters</t>
  </si>
  <si>
    <t>https://news.google.com/rss/articles/CBMizgFBVV95cUxOUDBzUElrZFAwYnlQVWdtTWY2bkhoMjJxOHhqRWxsM21QNlVNbUg3cGw5UEw0QVNtaXBwN3owaHpHNi1UTTE5eWt6cjU3ckY3NFp1d1BMSjRDRG5BR3BSZnJ0WlBTa0ZhcEZzR1c1QU5FVmpOVUYwSVhES1BFRkRsdUd0WVg5WV9UUllJN0dramRBb0NjUmMxLXdaN1lnLXlId01ZWmJHN2JMcGY4NUt1OWQtT3o5Y0dXVEl2Q29oYks1UE5jUUkyMXB0Ukdhdw?oc=5</t>
  </si>
  <si>
    <t>The sentiment is 'bullish' because the pause in Trump's tariffs is perceived as a positive development for commodities, leading to increased demand and prices for energy, metals, and grains.</t>
  </si>
  <si>
    <t>Oil settles down $1 at four-year low as US-China trade war escalates</t>
  </si>
  <si>
    <t>https://www.reuters.com/business/energy/oil-prices-climb-1-after-heavy-us-tariff-driven-selloff-2025-04-08/</t>
  </si>
  <si>
    <t>The sentiment is 'bearish' because the headline specifically mentions the oil price settling at a four-year low, which implies a significant downward pressure on the market, and the escalation of the US-China trade war is likely to worsen the demand outlook, further weighing on oil prices.</t>
  </si>
  <si>
    <t>Oil Prices Recover After Trump Offers Tariff Reprieve</t>
  </si>
  <si>
    <t>https://www.nytimes.com/2025/04/09/business/energy-environment/oil-prices-tariffs-trump.html</t>
  </si>
  <si>
    <t>The sentiment is 'bullish' because Trump's offer of a tariff reprieve is likely to ease trade tensions, which could lead to increased demand for oil and subsequently drive up prices.</t>
  </si>
  <si>
    <t>How the oil price plunge complicates Saudi Arabia's economic agenda</t>
  </si>
  <si>
    <t>https://www.reuters.com/markets/commodities/how-oil-price-plunge-complicates-saudi-arabias-economic-agenda-2025-04-08/</t>
  </si>
  <si>
    <t>The sentiment is 'bearish' because a plunge in oil prices would likely reduce the kingdom's revenue and worsen its fiscal deficit, potentially undermining its ability to implement its economic agenda, which is heavily reliant on oil exports.</t>
  </si>
  <si>
    <t xml:space="preserve">Brent crude dips below $60 per barrel for first time in 4 years </t>
  </si>
  <si>
    <t>https://www.ft.com/content/c10544d9-866e-4d28-9e60-842c019cb9ff</t>
  </si>
  <si>
    <t>The sentiment is 'bearish' because a decline in oil prices below a significant psychological level like $60 per barrel for the first time in 4 years suggests a strong downward momentum in the market, indicating a surplus of supply over demand and potentially leading to further price drops.</t>
  </si>
  <si>
    <t>Saudi will not waste a Trump-fuelled oil crisis</t>
  </si>
  <si>
    <t>https://www.reuters.com/business/energy/saudi-will-not-waste-trump-fuelled-oil-crisis-bousso-2025-04-08/</t>
  </si>
  <si>
    <t>The sentiment is 'bullish' because the headline suggests that Saudi Arabia, a key player in the global oil market, is confident in its ability to navigate and even benefit from a potential oil crisis, implying a sense of control and stability that could lead to higher oil prices.</t>
  </si>
  <si>
    <t>Canadian oil and gas CEOs take cautious approach during price rout</t>
  </si>
  <si>
    <t>https://www.reuters.com/business/energy/canadian-oil-gas-ceos-avoiding-rash-decisions-during-price-rout-2025-04-08/</t>
  </si>
  <si>
    <t>The sentiment is 'bearish' because the phrase "cautious approach" implies that CEOs are being conservative and risk-averse, likely due to uncertainty or pessimism about the future direction of oil prices, which suggests a negative outlook on the industry.</t>
  </si>
  <si>
    <t>Is Oil Demand About to Surge - Crude Oil Prices Today | OilPrice.com</t>
  </si>
  <si>
    <t>https://news.google.com/rss/articles/CBMie0FVX3lxTE9RVWFYMU1YdmJ5am9sYVItZU1ydGNMUDBWWFpaX29CTHpjNHoydE4xRTRmb2l5enJqaDAwTHVzQnBQYzNmZnl3QWlwb2JCc0NPWmppcXRsSXBGTHhQQWRZSl8wYWhRV1JFcUJZTlFHeklDTmFUem5nLW4zY9IBgAFBVV95cUxPSnVJWWhwTU1Ja2g4WmE1MmRweUVaTFpYcHR3TE40Nld5QVRIdXpZT3BZM1NwRks5UncwVWlFOEhPYXhtSzBIMFdnX3JqS3RmMDBmNldXb1RwTFFhOGNYS2ZoQmpnZXBpSU5ySE9iVHhnT2ZtTEZHalVpUktjQ1RHeg?oc=5</t>
  </si>
  <si>
    <t>The sentiment is 'bullish' because the headline suggests that oil demand is on the verge of increasing, which would likely lead to higher crude oil prices, a positive development for oil producers and investors.</t>
  </si>
  <si>
    <t>U.S. Oil Prices Fall Below $60 a Barrel</t>
  </si>
  <si>
    <t>https://www.wsj.com/livecoverage/stock-market-trump-tariffs-trade-war-04-07-25/card/u-s-oil-prices-fall-below-60-a-barrel-BiB2XbQlz8JRGoKIaokn</t>
  </si>
  <si>
    <t>The sentiment is 'bearish' because a decline in oil prices below $60 a barrel suggests a surplus of supply in the market, which could lead to lower revenues for oil producers and a decrease in investment in the energy sector.</t>
  </si>
  <si>
    <t>Oil settles down $1 at four-year low as US-China trade war escalates - Reuters</t>
  </si>
  <si>
    <t>https://news.google.com/rss/articles/CBMiqwFBVV95cUxOQjBRVUFsRDVfbDhwSDlwMnA0M3VPU2JHeHR3N2o5MHllZ0FYTmlJcVhQYWJtcDl5OXYwakVBTTg2TTAtYUdjVVgyUGFmUldCUlBSTlVFQXVyeEp2MDl5NWRUVU90X0djT2FSZXFFVF9vMTl5Z1JidEVHQS1zV2RCTXVSR2VOaWxPTWJTR0N5TWFjanExTVc5SHBMRjh3Z0lIempoTUVWcDJhN1E?oc=5</t>
  </si>
  <si>
    <t>The sentiment is 'bearish' because the headline indicates a drop in oil prices to a four-year low, which suggests a weakening demand outlook and a negative market environment, driven by the escalating trade tensions between the US and China.</t>
  </si>
  <si>
    <t>Stocks mostly fall in rocky market as tariff war escalates</t>
  </si>
  <si>
    <t>https://www.reuters.com/markets/global-markets-wrapup-1-2025-04-06/</t>
  </si>
  <si>
    <t>The sentiment is 'bearish' because the escalation of the tariff war is likely to lead to a decrease in global trade, resulting in lower demand for commodities, including oil, which could negatively impact the oil market.</t>
  </si>
  <si>
    <t>Fall in oil prices poses risk to Russian economy, TASS cites central bank chief</t>
  </si>
  <si>
    <t>https://www.reuters.com/markets/commodities/fall-oil-prices-poses-risk-russian-economy-tass-cites-central-bank-chief-2025-04-08/</t>
  </si>
  <si>
    <t>The sentiment is 'bearish' because a fall in oil prices is likely to negatively impact Russia's economy, which is heavily reliant on oil exports, leading to potential economic contraction and reduced government revenue.</t>
  </si>
  <si>
    <t>Oil prices slide 2% to near 4-year low as US trade conflict fuels recession fears</t>
  </si>
  <si>
    <t>https://www.reuters.com/business/energy/oil-prices-extend-losses-fears-global-trade-war-could-slow-economy-2025-04-06/</t>
  </si>
  <si>
    <t>The sentiment is 'bearish' because the headline explicitly states that oil prices are sliding towards a 4-year low, which implies a downward trend in prices, fueled by concerns about a potential recession, which is typically associated with reduced economic activity and lower oil demand.</t>
  </si>
  <si>
    <t>Oil Edges Higher After Three-Day Rout With Trade War in Focus - Bloomberg.com</t>
  </si>
  <si>
    <t>https://news.google.com/rss/articles/CBMinwFBVV95cUxQREV2QVRkdG9qUnpPNzJPbXVZaXNTNDhabHNGUjJNbHpxaUF1SUNUWXN0OXlRRF9lVEJPbm5uX3gyRENfVUc3MV80OVVrRTRhQ0pRdXlyNlMzTURwWDVFTGZkVlUtMmtuMldGTjlFaXRRR05FWU9XWF9QNEEwZG13RG4yYnhiXzRQMWo4OGRZVFdraFI1UENZajYycDJFN00?oc=5</t>
  </si>
  <si>
    <t>The sentiment is 'bullish' because the headline indicates that oil prices are reversing their recent downward trend, suggesting a potential turnaround in the market and a renewed optimism among investors.</t>
  </si>
  <si>
    <t>Markets Swing Wildly as Trump Holds His Ground on Tariff Plan - WSJ</t>
  </si>
  <si>
    <t>https://news.google.com/rss/articles/CBMihAFBVV95cUxOaVZjYTBmMFVwdnVpUkhXWWZpZ0FsN0lKZ2dET1hyQWQ2NWtadzFNWGhoSlRMeEtGQWUyenFzWUlwUmZpSEpjN3QyVlNFempiR3oyXzhKZzVSdVJ0bHM1MjBEVEk1bzFoWUs5b05keHliMnl2RlliaTZDZnRnX3JHM0s4X1Q?oc=5</t>
  </si>
  <si>
    <t>The sentiment is 'bearish' because the uncertainty and unpredictability surrounding Trump's tariff plan, as implied by the phrase "holds his ground", is likely to lead to increased volatility and potential disruptions in global trade, which could negatively impact oil markets and prices.</t>
  </si>
  <si>
    <t>Oil Plummets as Trade Risks Increase and Saudis Slash Prices - Bloomberg.com</t>
  </si>
  <si>
    <t>https://news.google.com/rss/articles/CBMinwFBVV95cUxOaG96TktsOUxkdmVGLVZpZkh3SXYyX1ZsSWRodTJzZ2c2RTFHTm9TRVFqU0xDNGh3d1BIWWVBUG4yekVsYW9scmZ4b1VjNzQxanJlYnRhNnNHRlExYnI1M01relFvdWEyMF90REs3dWtGa0FhR1dlemFsUXNQNEdSLW9sNFF1UmlCSW9UYUhXNGhfU0g3enoxSHhDTjFKQU0?oc=5</t>
  </si>
  <si>
    <t>The sentiment is 'bearish' because the headline suggests that increasing trade risks and Saudi Arabia's decision to cut prices are likely to put downward pressure on oil prices, which would negatively impact oil producers and investors.</t>
  </si>
  <si>
    <t>Oil prices slide 2% to near 4-year low as US trade conflict fuels recession fears - Reuters</t>
  </si>
  <si>
    <t>https://news.google.com/rss/articles/CBMiugFBVV95cUxPd3VDYUU0elhqeFNxdDBSMXpFRmRWUWtKMGYza0hkNWZuZmZHUjNRcjBpWFpjRDZZNmp5UTFtMnF1V0pLQkVGcS1pRU1oZWVYV294WUJQWVp0Ujh0VGFKSERKMzhoYzRNUlBmTG9pMUR0QWQtcFhiRElOUk1qeXFDYTR1dk9OZVZBcHpobW1UMUNRUGNaamtLVElxc19BbG14QlhqN0RxRS1Za1RacDVKdXlXQUduMUpZYlE?oc=5</t>
  </si>
  <si>
    <t>The sentiment is 'bearish' because the headline explicitly mentions "slide" and "near 4-year low" in relation to oil prices, indicating a downward trajectory that would likely negatively impact oil producers and related industries.</t>
  </si>
  <si>
    <t>Goldman Sachs lowers 2026 oil price forecasts again</t>
  </si>
  <si>
    <t>https://www.reuters.com/business/energy/goldman-sachs-lowers-2026-oil-price-forecasts-again-2025-04-07/</t>
  </si>
  <si>
    <t>The sentiment is 'bearish' because a reduction in oil price forecasts by a prominent investment bank like Goldman Sachs implies a weaker demand outlook, increased supply, or other negative factors that will put downward pressure on oil prices, which is typically associated with a bearish market sentiment.</t>
  </si>
  <si>
    <t>Oil drops further as fears of global recession rise</t>
  </si>
  <si>
    <t>https://www.ft.com/content/0ecfd40e-f73c-4cb2-b7e4-ca2f2a6c7c12</t>
  </si>
  <si>
    <t>The sentiment is 'bearish' because a global recession would likely lead to reduced economic activity, lower energy demand, and subsequent downward pressure on oil prices.</t>
  </si>
  <si>
    <t>Crude oil's demand woes shown by softer Q1 Asia imports</t>
  </si>
  <si>
    <t>https://www.reuters.com/business/energy/crude-oils-demand-woes-shown-by-softer-q1-asia-imports-russell-2025-04-07/</t>
  </si>
  <si>
    <t>The sentiment is 'bearish' because a decline in crude oil imports in Asia, a region that accounts for a significant share of global oil demand, suggests a slowdown in consumption and potential oversupply in the market, which could put downward pressure on prices.</t>
  </si>
  <si>
    <t>Crude oil's demand woes shown by softer Q1 Asia imports - Reuters</t>
  </si>
  <si>
    <t>https://news.google.com/rss/articles/CBMitAFBVV95cUxNZ0JIYmRtekdTYzdqaHpSWHVQemZxVEtYdTVSMl9rN05Tb0FGQXM3RjgwTFhMbE4yNzVxVTgtR0piSXBNYlU0VzM4bmRuWlNmNC1tQ05tU2I3Z2RpeGp5ZTN2SkhnblJIMXd1a09zaDFXV2FPU21ZaTA0d0xWcU9HMEtCYjRSNjdveHdFRVJZOE5iVi1kRVRDUWNxRFhlMkx6VkFmREhQNU5idmlQMkxXOTR6X20?oc=5</t>
  </si>
  <si>
    <t>The sentiment is 'bearish' because a decline in crude oil imports in Asia, a region that accounts for a significant portion of global oil demand, suggests weaker-than-expected demand and potentially oversupply in the market, which could lead to downward pressure on prices.</t>
  </si>
  <si>
    <t>Oil dives 7% to lowest in over 3 years on China's tariffs</t>
  </si>
  <si>
    <t>https://www.reuters.com/business/energy/oil-set-worst-week-months-over-trumps-new-tariffs-2025-04-04/</t>
  </si>
  <si>
    <t>The sentiment is 'bearish' because a 7% drop in oil prices to a 3-year low, triggered by China's tariffs, indicates a significant decline in demand and a potential oversupply in the market, which is typically associated with negative market sentiment.</t>
  </si>
  <si>
    <t>Oil Plunges To New Multi-Year Lows As Recession Fear Spikes</t>
  </si>
  <si>
    <t>https://finance.yahoo.com/news/oil-plunges-multi-lows-recession-224500779.html</t>
  </si>
  <si>
    <t>The sentiment is 'bearish' because the headline explicitly mentions a drop in oil prices to new multi-year lows, which is a clear indication of a downward trend, and the added context of recession fears further supports a bearish outlook as it implies decreased demand and potentially prolonged market weakness.</t>
  </si>
  <si>
    <t>US oil service firms set for hit from Trump tariffs, tumbling oil prices</t>
  </si>
  <si>
    <t>https://www.reuters.com/business/energy/us-oil-service-firms-set-hit-trump-tariffs-tumbling-oil-prices-2025-04-04/</t>
  </si>
  <si>
    <t>The sentiment is 'bearish' because the double whammy of Trump tariffs and tumbling oil prices is likely to reduce demand for oil services, negatively impacting the revenue and profitability of US oil service firms.</t>
  </si>
  <si>
    <t>Seeking to punish cheaters, Saudi Arabia pushes OPEC+ to open oil taps</t>
  </si>
  <si>
    <t>https://www.reuters.com/business/energy/seeking-punish-cheaters-saudi-arabia-pushes-opec-open-oil-taps-2025-04-04/</t>
  </si>
  <si>
    <t>The sentiment is 'bearish' because the headline suggests that Saudi Arabia is pushing OPEC+ to increase oil production, which would lead to a surge in supply and potentially put downward pressure on oil prices.</t>
  </si>
  <si>
    <t>Oil dives 7% to lowest in over 3 years on China's tariffs - Reuters</t>
  </si>
  <si>
    <t>https://news.google.com/rss/articles/CBMiowFBVV95cUxOVVNNT0lYa0pINjVUSVdoWTQ5RDJ5QXhaSFpzVmhVcXd1cnhLLWo1ZEVybW5mMWF2QVBVUHVpa0tGNzVRYXFyVlZyU29yXzhpQWFrcmQtZFkxZnMwZ2hYOHBDVjNhdEd2WlpEY1FJOUxBM2dIZ29xUEtISHBVd0pMZ0hzamtkTkpNT2E0dTlXamdoUXJCMHJ6NW9RcnozYS02Nlgw?oc=5</t>
  </si>
  <si>
    <t>The sentiment is 'bearish' because a 7% dive in oil prices to a three-year low, triggered by China's tariffs, suggests a significant negative impact on oil demand and prices, which is typically associated with bearish market sentiment.</t>
  </si>
  <si>
    <t>Oil imports exempted from Trumpâ€™s sweeping tariffs</t>
  </si>
  <si>
    <t>https://www.reuters.com/business/energy/oil-imports-exempted-trumps-sweeping-tariffs-2025-04-02/</t>
  </si>
  <si>
    <t>The sentiment is 'bullish' because the exemption of oil imports from Trump's tariffs removes a significant risk of supply chain disruptions and cost increases, which could have negatively impacted oil prices and the overall energy market.</t>
  </si>
  <si>
    <t>US oil rig count rises to highest since June, Baker Hughes says</t>
  </si>
  <si>
    <t>https://www.reuters.com/business/energy/us-oil-rig-count-rises-highest-since-june-baker-hughes-says-2025-04-04/</t>
  </si>
  <si>
    <t>The sentiment is 'bearish' because an increase in the US oil rig count typically indicates an increase in oil production, which can lead to a surplus in the market, putting downward pressure on oil prices.</t>
  </si>
  <si>
    <t>Exxon signals higher oil, gas prices will help boost Q1 profit</t>
  </si>
  <si>
    <t>https://www.reuters.com/business/energy/exxon-mobil-signals-rise-first-quarter-upstream-profit-2025-04-03/</t>
  </si>
  <si>
    <t>The sentiment is 'bullish' because higher oil and gas prices typically translate to increased revenue and profit margins for Exxon, which would likely boost the company's Q1 profit, making investors optimistic about its financial performance.</t>
  </si>
  <si>
    <t>VIEW Oil tumbles 8% after China retaliates in global trade war</t>
  </si>
  <si>
    <t>https://www.reuters.com/business/energy/view-oil-tumbles-8-after-china-retaliates-global-trade-war-2025-04-04/</t>
  </si>
  <si>
    <t>The sentiment is 'bearish' because the headline suggests that oil prices have fallen sharply due to escalating trade tensions between the world's two largest economies, which could lead to reduced global demand and increased market volatility.</t>
  </si>
  <si>
    <t>Oil Prices Slide to Lowest Since 2021</t>
  </si>
  <si>
    <t>https://www.wsj.com/livecoverage/stock-market-tariffs-trade-war-04-04-2025/card/oil-prices-fall-further-after-opec-moves-to-boost-output-kSUXnytIMNfJ68Rj6wuW</t>
  </si>
  <si>
    <t>The sentiment is 'bearish' because a decline in oil prices to their lowest level since 2021 suggests a weakening demand and/or oversupply in the market, which is typically considered a negative development for oil producers and investors.</t>
  </si>
  <si>
    <t>Oil Extends Sharp Drop After Surprise OPEC+ Hike, Trump Tariffs - Bloomberg.com</t>
  </si>
  <si>
    <t>https://news.google.com/rss/articles/CBMinwFBVV95cUxPSGdpOU02TzZ0QlRlblNyVVY5WXRMc0VHcThQYV9ucU9TSmRMRGsxYmRxVHNOVWNsamJWd1lobl9ZRk55eVlab2x1WU44Y3RuY3dnSF9CeVNxemtKV2VPOFZ5ckFSV0Y0VDBlRktsd1ZRaEdwbzgxeE1BRHVoMm9SZWRkOXk3X0d4dnNzVm5FUGlORUxnS3dHNDJibW5FRzg?oc=5</t>
  </si>
  <si>
    <t>The sentiment is 'bearish' because the combination of a surprise increase in oil production by OPEC+ and the imposition of Trump tariffs is likely to lead to an oversupply of oil in the market, putting downward pressure on prices.</t>
  </si>
  <si>
    <t>Algo Traders Are Rapidly Turning More Bearish on Crude Oil - Bloomberg.com</t>
  </si>
  <si>
    <t>https://news.google.com/rss/articles/CBMirgFBVV95cUxOYU9ZVVJOWVpISnRkNkFkQWR6LXVjT18wMVU2Z1dYVGh0MzdpOEdjcURfOXJSOGNJVi1BT2ItZlRkNzRNbktaczFzOTIxbEhUSzJMNThRSHVWN1BkamhMVWpVNnNJelU4bnFrYUdUc1kzdlB1dm55a0ZvS1pzUnkwcVAtSmpIV1d6LU14SThHNmxiWmIxcjNxdmlrOEY0aXZtY0VfcHZVaHl3anNMYUE?oc=5</t>
  </si>
  <si>
    <t>The sentiment is 'bearish' because the headline suggests that algorithmic traders, who are often seen as trend-followers, are increasingly negative on crude oil, implying that they expect prices to decline, which is a bearish outlook.</t>
  </si>
  <si>
    <t>US oil producers face new challenges as top oilfield flags</t>
  </si>
  <si>
    <t>https://www.reuters.com/markets/commodities/us-oil-producers-face-new-challenges-top-oilfield-flags-2025-03-27/</t>
  </si>
  <si>
    <t>The sentiment is 'bearish' because the headline suggests that a major oilfield is experiencing difficulties, which could lead to reduced production and potentially lower oil prices, thus negatively impacting US oil producers.</t>
  </si>
  <si>
    <t>Trump's tariffs already have a major carve-out. Oil and gas: Russell</t>
  </si>
  <si>
    <t>https://www.reuters.com/business/energy/trumps-tariffs-already-have-major-carve-out-oil-gas-russell-2025-04-02/</t>
  </si>
  <si>
    <t>The sentiment is 'bearish' because the headline suggests that Trump's tariffs will have a significant exception for the oil and gas sector, which could lead to increased competition and downward pressure on prices, ultimately negatively impacting oil and gas companies.</t>
  </si>
  <si>
    <t>Oil majors suffering from OPEC+ output hike, not from U.S. tariffs, Eni exec says</t>
  </si>
  <si>
    <t>https://www.reuters.com/business/energy/oil-majors-suffering-opec-output-hike-not-us-tariffs-eni-exec-says-2025-04-04/</t>
  </si>
  <si>
    <t>The sentiment is 'bullish' because the Eni executive's statement shifts the focus away from the potentially bearish impact of U.S. tariffs on oil demand and toward the increased oil supply from OPEC+, implying that the oil majors' struggles are due to a temporary supply glut rather than a downturn in demand.</t>
  </si>
  <si>
    <t>Stock Market News, April 4, 2025: Dow Tumbles 2,200 Points, Bonds Rally After China Retaliates Against Trump Tariffs - WSJ</t>
  </si>
  <si>
    <t>https://news.google.com/rss/articles/CBMif0FVX3lxTE44Uk5BSTBvdmtvb0RNNW5GRHQtdXN1NVVjUTRQSmZrc0FMamdfNklTbzNpdjZadGlWRlZvbGRGRXF4eTJHeWdIN0ZQaWc3WElvWVEwd05NMXpzRTJRM2F0MGY4aFVPTzAyaGxGeDFleXVPQVFxZ2xKMlJoaklzU1E?oc=5</t>
  </si>
  <si>
    <t>The sentiment is 'bearish' because a 2,200-point drop in the Dow is a significant and sudden decline, indicating a sharp loss of investor confidence, which is often accompanied by a flight to safety in bonds, and in this case, triggered by retaliatory actions from China against Trump tariffs, implying a potentially escalating trade war.</t>
  </si>
  <si>
    <t>OPEC+ unexpectedly speeds up oil output hikes, oil drops</t>
  </si>
  <si>
    <t>https://www.reuters.com/markets/commodities/opec-advance-oil-output-hike-plan-with-bigger-may-boost-2025-04-03/</t>
  </si>
  <si>
    <t>The sentiment is 'bearish' because the unexpected increase in oil output hikes by OPEC+ is likely to lead to a surge in global oil supply, which would put downward pressure on oil prices.</t>
  </si>
  <si>
    <t>Oil in Freefall Reorders Energy Landscape From US to Middle East - Bloomberg.com</t>
  </si>
  <si>
    <t>https://news.google.com/rss/articles/CBMitgFBVV95cUxQNGNjeXlhZHFNZVBaRjN5TzRhU1IyVWU3ZGF4NWZkZHNmdzcxSHpmcXlNclcyRm9JcG1ONHZYMklhdVNSTGE2dXpKUUJxendwNW9IMDlwZ1dhVFd1OGRnMzRLQUYybTN4LVptWjBVeGt3N3FSN0pWYXJrb3RPX1AtWkMtVzhIaDJMUGU2SmRaMks5N0l4c3hwQVIydFBvZkJkcU1tRXVYUUVvRE1WVUhXTDVNUDB3dw?oc=5</t>
  </si>
  <si>
    <t>The sentiment is 'bearish' because the headline suggests a rapid decline in oil prices, implying a negative outlook for oil producers and the energy industry as a whole, which is typically associated with bearish sentiment.</t>
  </si>
  <si>
    <t>Trumpâ€™s Tariffs Wipe Out Over $6 Trillion on Wall Street in Epic Two-Day Rout - WSJ</t>
  </si>
  <si>
    <t>https://news.google.com/rss/articles/CBMiuwFBVV95cUxPQnoyRGlXLWNQOUdpdlVqeWNMQmdrWGtEUnkyblNCUTZ4RUJKWFhiTmRBRzhlaHc5VnkxRjBxLVpRdXpSTmhBOG9fcWYzQVR1ZHdhLVM3MGZvVi1vckVwc1ZrSU1wa0UwYWNpb3lYMXM5X3JGdmJPQVptWGJleUVMWFZSY0Y3UWROaW1XcmlYTVBRaFJ1NmNqNXdVUlJ4VTY2OVNQbXNxdnBKMm9Ebk9XcXVpQklJbkcxZUQ0?oc=5</t>
  </si>
  <si>
    <t>The sentiment is 'bearish' because the massive loss of value on Wall Street, triggered by Trump's tariffs, signifies a broad-based sell-off in the market, implying a lack of investor confidence and a potential downturn in the economy, which would likely negatively impact oil demand and prices.</t>
  </si>
  <si>
    <t>COMMODITIES Oil sinks to pandemic lows; metals, soybeans slump as China retaliates - Reuters</t>
  </si>
  <si>
    <t>https://news.google.com/rss/articles/CBMixwFBVV95cUxQN2tHc1F3QVlGcjNjRU1zYmNFUHVsMExwX1VMbFNZbm90MFpfTUZRMjJLUDhsdVRuNXdyemd5NWx4bUI4RXhHRmxxTlhqeXV1eFUtenNqY3lhMDgyZ2dtbmVHWXVDekYyWEdBY3hJSHlOUnAtVi05aXNYNHduc3VnYkIwX3VkeGJMSDJocm9lMHkzNndYZl85bHpLZV80bW9jT3hsc21IaDBiNzFRWnM0Y3hwRnJ1N0xUVXl2cmNOTDlqV0ZqS0RF?oc=5</t>
  </si>
  <si>
    <t>The sentiment is 'bearish' because the headline indicates a broad-based commodity sell-off, led by oil, which is falling to pandemic lows, suggesting a lack of demand and a bleak outlook for the market.</t>
  </si>
  <si>
    <t>Trump Tariff News, April 3, 2025: Tariffs Send Dow to 1600-Point Decline, Dollar Slumps - WSJ</t>
  </si>
  <si>
    <t>https://news.google.com/rss/articles/CBMihwFBVV95cUxNOU40cV9wSThJZVRhc2tmQ0tNRFpFbTR6NExENkVjX3l5RF90U3NkbmRTM1dzaWUyaFNaSEt0ek9CVDJNNUpBVFhlRVgxVFFIcThHN0FMSzZ4VUlLOExRV0hQTW9iSWR6SVAyVGJGVDhaYmhkWUc1aENnSGw1M3FPQ0o2TFVvZEE?oc=5</t>
  </si>
  <si>
    <t>The sentiment is 'bearish' because the headline suggests a significant decline in the stock market (Dow 1600-point decline) and a weakening of the dollar, implying a negative impact on the overall economy and potentially also on the oil market.</t>
  </si>
  <si>
    <t>Oil Declines as Trumpâ€™s Wide-Ranging Tariffs Threaten Demand - Bloomberg.com</t>
  </si>
  <si>
    <t>https://news.google.com/rss/articles/CBMinwFBVV95cUxQcmhaTUtBUXk1b3RLS0pydzZ3NE1SOXRxNThXMW9rel96Q0NvOVczWjJsVmVKQ1pNY04wQl9uYzNSc3pEbXJmUXFQS21pcUpONFFqRUN6aTV2RVNYaFppRE9SRUhPRnVDeHpQaTM3VktUWmRCVExYellyTnFFOFVWU2dtZExaRjRXOFR3cDJDWTAxNUsyejhWZDhtdjNTRVE?oc=5</t>
  </si>
  <si>
    <t>The sentiment is 'bearish' because the imposition of wide-ranging tariffs by Trump is likely to slow down economic growth, reduce trade, and ultimately decrease demand for oil, which would put downward pressure on oil prices.</t>
  </si>
  <si>
    <t>UK North Sea Oil Is â€˜Uninvestableâ€™ Due to High Tax, Ineos Says - Bloomberg.com</t>
  </si>
  <si>
    <t>https://news.google.com/rss/articles/CBMirwFBVV95cUxPSVV6S2p1VV9JZXJOZHlMWUttYnNhUjZRXzZZX3o1aFN1LW5UQzZRNUlZZTdDM3ZaT2paSzR1ZldrUVBZT3AxOEpkaXoxZV9mU3dVYkV5UEVuRl9yMHZNTnJTZThPU1p2YXVRQklicG8xSC0tM0RUcmRIclk3UHhnOWQxTmJHUWtSYWJGNlhYaUVtSmxfcGlEMXN4WFpWcFU1emNuTm85X2xncDd5SmRj?oc=5</t>
  </si>
  <si>
    <t>The sentiment is 'bearish' because the statement implies that the high tax environment in the UK North Sea oil industry is deterring investments, which could lead to a decline in production and revenue, ultimately negatively impacting the overall oil market.</t>
  </si>
  <si>
    <t>Venezuela Bondholders Find Path to Repayment in Citgo Auction - WSJ</t>
  </si>
  <si>
    <t>https://news.google.com/rss/articles/CBMioAFBVV95cUxORGN3ZDJnTnZKNVphR3VlUHBMb0o0TDlUY0ZqeDhQZzRhTk4yX25BZjY0SVBXeVBBTHVqaC1xOEVYUWU1dHVTOElxa1dfQWt3RkZXeUN5VTNnRjU1YV9oSjAwUGxnbXR1akFZTE5Cc01WeXJ3ZW1fS0t1UU9ob1FmRExmbWY4cEF4ZXY2RXJQZm5EVWFwakNrMmNhZ25DR2lK?oc=5</t>
  </si>
  <si>
    <t>The sentiment is 'bullish' because the auction of Citgo, a key Venezuelan asset, could potentially unlock a path to repayment for bondholders, implying a resolution to a long-standing debt issue and a positive development for the oil industry.</t>
  </si>
  <si>
    <t>Oil Drops as Trumpâ€™s Trade War Stokes Concern About Crude Demand - Bloomberg.com</t>
  </si>
  <si>
    <t>https://news.google.com/rss/articles/CBMiqAFBVV95cUxQX0JSbjhQeUlHa19TOUt6NFBvTWlLdDN5cGNueHJsUTE1d1hnWWZXVkhyYzhFZ1h1X0owZElWZElBWFhPRHViblZTeWNOZ1RyQjZmQzkxVF91d05ZT0dpdjFYR3d3UHpWNzhLNExQSGx2V3J0RVNYQzRYaWpNVHBkSWdEZm1ubHFKdEN0QlBhMnpWd2pfSEFFLTcxZUR4RkVMWERvcVg0NFc?oc=5</t>
  </si>
  <si>
    <t>The sentiment is 'bearish' because the headline suggests that Trump's trade war is likely to negatively impact crude demand, which would lead to a decrease in oil prices, as reduced demand typically puts downward pressure on prices.</t>
  </si>
  <si>
    <t>Oil Rally Wavers as Focus Turns to US â€˜Liberation Dayâ€™ Tariffs - Bloomberg.com</t>
  </si>
  <si>
    <t>https://news.google.com/rss/articles/CBMinwFBVV95cUxQb1A5ejBKTU1IdEI1TGtLS0kwOUxYSFNkOWw5Q0Z5eGtWRWU3VEp0US1UZTVxeXVfbkZFMlFKdWh4all2SFM3bnhjWDIxeUlsbTRfeFJna1dCMjNrLWo2OUs4S05temkwQVp4SUxlWThlbzZIbzE1ZjlPV2Q3OEtCMy1XZUpsV3ZfRFNlalFFZTRJSkxoUi1jWkZFeU1DVkE?oc=5</t>
  </si>
  <si>
    <t>The sentiment is 'bearish' because the mention of "US 'Liberation Day' Tariffs" suggests that the market is expecting a potential disruption to trade flows and increased costs for importers, which could lead to downward pressure on oil prices.</t>
  </si>
  <si>
    <t>Oil Holds Hefty Advance With Trump Sanctions, Tariffs in Focus - Bloomberg.com</t>
  </si>
  <si>
    <t>https://news.google.com/rss/articles/CBMinwFBVV95cUxPTnVyeG5nRVBESS04RTlJQ01fbDNyOVROOXUyV1Qzb2hISGVzRHpCVmlpMUxoWDhJOW5nV01nNXh3YTh0clR5eGVXZkRlNU1QdzY5Q0JIWmowNzVqZVlRNXZYNVpwT3VadHRtaTQyQUhZcTlzZlJsMEwwYnFfb1dXVFhwQy0xdVp0NWRGX2I0WTNtVmNhcFRuNHdOVFc4Wms?oc=5</t>
  </si>
  <si>
    <t>The sentiment is 'bullish' because the headline suggests that oil prices are holding onto gains, implying that the market is optimistic about the impact of Trump's sanctions and tariffs on oil demand and supply.</t>
  </si>
  <si>
    <t>Oil eases off five-week highs as traders weigh impact of imminent Trump tariffs - Reuters</t>
  </si>
  <si>
    <t>https://news.google.com/rss/articles/CBMiuAFBVV95cUxNb2ZDMm1sTG1PT1YzWTEtRUpKa3VNWU45R3RmaVZYQW9VOVliQXlBcmJGc3R5bWt4Slg4NzZzYVpNbHk2UVdNZmpvNXBudTRORTRmclphWGw3MWVsbVVBNVpLMGFveUVmSzc1amdYa1N5SnJMQ0Y0a3pDMUtwR3VtVGpkYXJrSG01azBxUk9GVFNJQjJhcEo3MGRQX0VGbTFlTXk2bDNOaWNNSlBjSG9GRVktVmVRaW9Q?oc=5</t>
  </si>
  <si>
    <t>The sentiment is 'bearish' because the impending Trump tariffs are expected to negatively impact the global economy, leading to reduced oil demand and subsequently pushing prices downward, which is a bearish signal for the oil market.</t>
  </si>
  <si>
    <t>Oil prices climb 2% to five-week high on Russia, Iran supply worries</t>
  </si>
  <si>
    <t>https://www.reuters.com/markets/commodities/oil-prices-ease-despite-trump-warning-possible-tariffs-russian-buyers-2025-03-31/</t>
  </si>
  <si>
    <t>The sentiment is 'bullish' because the headline suggests that oil prices are increasing due to supply concerns, implying a potential shortage in the market, which would support higher prices.</t>
  </si>
  <si>
    <t>Weak oil price adds to strain on Saudi mega-projects</t>
  </si>
  <si>
    <t>https://www.ft.com/content/631838c8-a86a-44d2-86cc-587288eb089f</t>
  </si>
  <si>
    <t>The sentiment is 'bearish' because a weak oil price implies reduced revenue for Saudi Arabia, which could lead to delayed or scaled-back investment in its mega-projects, potentially impacting the country's economic growth and development plans.</t>
  </si>
  <si>
    <t>Wall Street Banks Cut Oil Price Forecast Amid Tariff, Geopolitical Uncertainty - WSJ</t>
  </si>
  <si>
    <t>https://www.wsj.com/business/energy-oil/wall-street-banks-cut-oil-price-forecast-amid-tariff-geopolitical-uncertainty-bbca7cde</t>
  </si>
  <si>
    <t>The sentiment is 'bearish' because the combination of tariffs and geopolitical uncertainty is likely to lead to reduced global economic growth, lower oil demand, and subsequently, downward pressure on oil prices.</t>
  </si>
  <si>
    <t>Softer demand outlook to weigh on oil, OPEC+ walks a tightrope - Reuters</t>
  </si>
  <si>
    <t>https://news.google.com/rss/articles/CBMipwFBVV95cUxOQXZVVWtOMmlieXhtT295X2hWZk4wN1FiUS1CVG9aZGJrdjdSbjdLTjZDZTFGWjF5clJxQk5zZWw1cDlQbkE1WUtwME9OaU85Q0Y4b0ZsZHVYNzlnZnRuN0tqTGp0WFNwcDAxY3BYcDRtWm1ueEpzVnRFN20tSVF2UEVyaGRGMUM4dFZGTElZeUFYSW9Sa3lZN2IyT1FmaXlUSWlSR0ZYdw?oc=5</t>
  </si>
  <si>
    <t>The sentiment is 'bearish' because the headline suggests that softer demand expectations will negatively impact oil prices, implying a decrease in value, which is a characteristic of a bearish market outlook.</t>
  </si>
  <si>
    <t>North Sea Oil Swaps Hit Record Volume as Prices Spiked - Bloomberg.com</t>
  </si>
  <si>
    <t>https://news.google.com/rss/articles/CBMiqAFBVV95cUxPb0Rrd3A5c2dWRGgtQW83b1dEOExnRnNxa1RuSkpBV3RwaWE3MXFKMmRwUUhHejVXSVYzM1pnMDNWUmVaWjlWSmR2UjZEaU5sSlZGUzlUNjRSblFHenpTMWp5MDJlZHlzUXFOTEsycHV5Si0xdGhldlZETHk0UWh0Y0ZKaS1DQlYtY2NFeHhZVEFDR1pSSG5VelVKSGV0MS1wNFZycXZTUms?oc=5</t>
  </si>
  <si>
    <t>The sentiment is 'bullish' because the record volume of North Sea Oil swaps indicates increased market activity and investor interest, which is often a sign of upward price momentum, supporting the notion that prices may continue to rise.</t>
  </si>
  <si>
    <t>Oil prices climb 2% to five-week high on Russia, Iran supply worries - Reuters</t>
  </si>
  <si>
    <t>https://news.google.com/rss/articles/CBMiwwFBVV95cUxQOEh0ZGZiZkktb0NBZXBlbTdFRlVzM3lNOWxoZjhIdDluTmxOR1F2RXA1NmVvUVZWUzNvWDF5WjgyeUJ6UnhpNl9qYmN0d3J4TlkxOElUTnRBeE95Z3V1d251bE12aURyTHZyTEppTzQ1TDFZVHZ5cEgxelR2M3RCalRuMFNVVHdaNmRnLVdieEZDbExNSlRfRkZvZ0dudGZ5NFliNFd2Rnp6Y0tIazhjZ2VlbENyMWIyU05QNDJ0UVJkMEk?oc=5</t>
  </si>
  <si>
    <t>The sentiment is 'bullish' because the headline suggests that oil prices are rising due to concerns about potential supply disruptions from Russia and Iran, which implies a tightening of the oil market and higher prices.</t>
  </si>
  <si>
    <t>Analysts Don't See Too Much Upside for Oil Prices - Crude Oil Prices Today | OilPrice.com</t>
  </si>
  <si>
    <t>https://news.google.com/rss/articles/CBMipwFBVV95cUxNMThET291N29TNEVLeHZ6UU43c2o3SkVKYzhvNGo2ZHFqTDFiRnItczQzYkNlM19CYUZsNjdYMXJDTmZYNVZzQVk3M3RtT1E2c2FSS0plVVJFbWU3ZkRpdnhwZHlWaWlMSW8tUzRUWmxMQjFnT0xVN2IzdWlRZ3J6ck9SNktscDM3cXI5NVFLdVBhNjBudW1yejAxMktFZnFwQVczbnB3d9IBrAFBVV95cUxNejVicEhFN085dm4wa1BZVWx3X3ZpYkZEamhnSEphZVRQOGZ6T0FqUnFqT2I1bVR5Rzk1aE12c1lQLW5XQ0hwQXJVOVJwNTNhWk1KVWE0SWFEb1dnOXdPVUdwWloxQk9GVFEwd0tvZGNYYzJ2SENyNkVPa0txMWJhZmxGd2ozRDNZU3ZrSlhoQ0xfUTl2N1NMY1dCRElyVHNJRGZGTnRwdEF5cFFw?oc=5</t>
  </si>
  <si>
    <t>The sentiment is 'bearish' because the headline explicitly states that analysts do not see much upside for oil prices, implying that the market is expected to remain stagnant or decline, which is a characteristic of a bearish outlook.</t>
  </si>
  <si>
    <t>Oil slips on recession fears but posts 3rd weekly gain</t>
  </si>
  <si>
    <t>https://www.reuters.com/business/energy/oil-holds-near-one-month-high-set-third-week-gains-amid-supply-woes-2025-03-28/</t>
  </si>
  <si>
    <t>The sentiment is 'unrelated' because the headline presents a mixed message, neither overwhelmingly positive nor negative, as oil prices experience a decline due to recession fears but still manage to log a third consecutive weekly gain, making it difficult to categorize the sentiment as purely positive, negative, or neutral.</t>
  </si>
  <si>
    <t>China's Rongsheng Petchem opens Canada office, buys crude from Suncor - Reuters</t>
  </si>
  <si>
    <t>https://news.google.com/rss/articles/CBMiugFBVV95cUxPU0kxU0d1SnZVZndJb05SeWlqcTZHekUtY2h3OG5weEtSa2V6OThLck1kcjFPdGJlRWJkclVBaFY2b2RpSjBvTk1VbDJHazcyYjBNamU5YUJyaEJJMWFrN0ZVMk1IOGJQeHhnZUp5MWU1Vl95Qzd4eWR1LTJSQW0xTXVZLWZyOGt6Z2ZCVExRSFhqLURvTU42Y2NvUlpCVEh4c19WbTcxbDBiVktpT1BRVFdqYUM4cUhFaGc?oc=5</t>
  </si>
  <si>
    <t>The sentiment is 'bullish' because the expansion of Rongsheng Petchem into Canada and its purchase of crude from Suncor indicate increasing demand and investment in the oil market, which is likely to support prices and benefit oil producers and refiners.</t>
  </si>
  <si>
    <t>Oil slips on recession fears but posts 3rd weekly gain - Reuters</t>
  </si>
  <si>
    <t>https://news.google.com/rss/articles/CBMiuwFBVV95cUxPRWtoZU1IdmtXdndNclB3eVlfX3k4Z2ZEVDBhYW04Z2FmN2hVWlhMSEJrWnN1U1l5bkQ5by1Cc0hjZllIemlLeWs5RnJXQjNxUHR5cEJvb0hMREJIT2UxOVhPV1g2ZUl5ZHE4SW9SXzA1WHY5TF9IRDUyNXJoM2RIQnlwV19wc0h6MzcweUgzT21PaFZLbXRuWGtHLWZFeGNscWwtM3JxdC1KUWZTSHZQcnlXNXBqZVVnYXRj?oc=5</t>
  </si>
  <si>
    <t>The sentiment is 'neutral/uncertain' because the headline reports a mixed outcome, with oil prices slipping due to recession fears, but still managing to post a third weekly gain, indicating a tug-of-war between bearish and bullish factors that leaves the overall direction of the market unclear.</t>
  </si>
  <si>
    <t>Oil Holds Gain as US Posts Biggest Drop in Stockpiles This Year - Bloomberg.com</t>
  </si>
  <si>
    <t>https://news.google.com/rss/articles/CBMioAFBVV95cUxOUVhJbU5fNXRHQzNDazRMNzZSVm9JdHRWZlJSeFktLWxlRVdWZ3BVTG02RGJ2Q2JkYThWaERrVEYwaDRsYW1EOEVSSFd1VXJfaUozVF80N0I4ZWZjMXYyTzR4YldGanM2c2pUeEpycWZhenh5a1NSMTRrMEwza2JaWTJ1LXI2NVBUWTZFTkhacFR5VGVUblBvaFRyUW1oRy01?oc=5</t>
  </si>
  <si>
    <t>The sentiment is 'bullish' because a significant drop in US stockpiles indicates a tightening of supply, which would typically support higher oil prices.</t>
  </si>
  <si>
    <t>Oil approaches one-month highs as investors assess supply, trade war risks - Reuters</t>
  </si>
  <si>
    <t>https://news.google.com/rss/articles/CBMiuAFBVV95cUxQSzg5ejN1WWFMeTZkbTJlYzRQX1AxcnpPaEgwTGJIaVhsZTNlcXBPc1U1ZXpsMjlNc3hodDRHcy0tQkhyV3FPUmpYZjBZWlZHVERpS1Q3ckJPLWZmU2tqX3BNVXVPNmRTWU5PVEwxUWQya2c4VHZqYjVnWWJuLTRLQ1VnQU9yNnd6Y2xQdUwyRGZIQk50MGFBNHRvRXo4d2JLQVlsa3ppQXdINHZaMThTaTBQWmRQM3Uw?oc=5</t>
  </si>
  <si>
    <t>The sentiment is 'bullish' because the headline suggests that oil prices are rising and approaching a one-month high, implying a positive outlook for oil prices driven by investor optimism despite ongoing trade war risks.</t>
  </si>
  <si>
    <t>Economic Growth Now Depends on Electricity, Not Oil - WSJ</t>
  </si>
  <si>
    <t>https://news.google.com/rss/articles/CBMioAFBVV95cUxPQ0NIRk44ODM2RkJIZEZlMnR5Y08yNjdxVHB1MlV6bEZBUk1DWENNUGJCRkJjem9VVG1uMDc5TFVqZ0xWaEJSYjB1ZzVFOHQ3R0xsQzdWWFlfS3dUWVg5aFhvNVJSVWlwYm9oTTVVUVVlbTZTcGZUMEhQb2txOGtYUGk1OXlwZm1LemdMaTNYdnRpOGN6SFNKN2plenhyWjJ0?oc=5</t>
  </si>
  <si>
    <t>The sentiment is 'bearish' because the headline suggests a shift in the driver of economic growth from oil, a traditional indicator of economic vitality, to electricity, implying a reduced dependence on oil and potential downward pressure on oil demand and prices.</t>
  </si>
  <si>
    <t>Dallas Fed survey shows capex plans holding up despite uncertainty</t>
  </si>
  <si>
    <t>https://www.ogj.com/general-interest/companies/article/55277579/dallas-fed-survey-shows-capex-plans-holding-up-despite-uncertainty</t>
  </si>
  <si>
    <t>The sentiment is 'bullish' because the survey's indication that capital expenditure plans are holding up despite uncertainty suggests that businesses are confident in their future prospects and are willing to invest in growth, which can be a positive sign for economic activity and demand for oil and other commodities.</t>
  </si>
  <si>
    <t>Oil Gains as Industry Report Points to Big Drop in US Stockpiles - Bloomberg.com</t>
  </si>
  <si>
    <t>https://news.google.com/rss/articles/CBMioAFBVV95cUxQVHNtdEJ2bDRyNXJzci1MNzVyZTl3ZmN5ODFPNHdqZjIzTzZjamYwRDJxYmVudUF2YXdNQnpyaWN0b21qb0RXZDJwUnpkS2ZTU3hIOTZlSWdXMExRT2JSRGV1NllfVWR1NWU4SDF6US16OHh5N1c5S1VrWXJ2anV1R09ZUXo2WnF1WkhjcE9BR2VYNnVxSDMxTzdRcV95RUgz?oc=5</t>
  </si>
  <si>
    <t>The sentiment is 'bullish' because the reported drop in US stockpiles suggests a tighter market balance, which would support higher oil prices, as inventory declines are often seen as a sign of strengthening demand or reduced supply.</t>
  </si>
  <si>
    <t>Oil settles up 1% on US crude and fuel stock draw, Venezuela supply worries - Reuters</t>
  </si>
  <si>
    <t>https://news.google.com/rss/articles/CBMilwFBVV95cUxOVHh5dnZ0cG1rRlRXZDRVQURBb00zb3JsS1A0UGpRSHZkM2FIalEtekZqUVRLanVGNW9DWUF3ZVJQWGlTU0I0Mk40MldXczRsZ3dRWjFiMURkSXlHYzdjalEydVhIQ1ZRWHBfNGVaVVNvUnE5RGJ2UnRRUERQbHRHOEtRbWFZQUhKS1pDcjRGMmo0SlRTZ1c0?oc=5</t>
  </si>
  <si>
    <t>The sentiment is 'bullish' because the headline reports a 1% increase in oil prices, driven by a drawdown in US crude and fuel inventories, which suggests a tightening of supply, and concerns over Venezuelan supply, which could further restrict global oil availability.</t>
  </si>
  <si>
    <t>WTI Nears $70 as Supplies Tighten</t>
  </si>
  <si>
    <t>https://www.rigzone.com/news/wire/wti_nears_70_as_supplies_tighten-26-mar-2025-180045-article/</t>
  </si>
  <si>
    <t>The sentiment is 'bullish' because the headline suggests that supply constraints are driving the price of WTI crude oil higher, which is a fundamental factor that supports a positive outlook for the commodity.</t>
  </si>
  <si>
    <t>Oil Rises on Larger Than Expected Crude Draw - Crude Oil Prices Today | OilPrice.com</t>
  </si>
  <si>
    <t>https://news.google.com/rss/articles/CBMiogFBVV95cUxPd0F2TDFHTGV6LTNKWFVadkZoSjhRemdYMjVUUDlBN3hTc1JlTEpjRjJjRmtQa2xIQVlNZDJocHVIRmh1WjVzOFNjemctLUFmdUlTLWxGTzg1M3Awb3NfWVl6NjlzM1FLem11bUx2MWgzcF9mSTJPRXFXOER6Mm05Zm5nMVl1dDE2T3NMaUlobi1wOXBvcVRra2hKajVkc053NUHSAacBQVVfeXFMTmNlRndYbUhuU0lZemd4MVVxbU1CMjhKTU90TmFTbVZSdDBZV1hmT0xtZ1dkMmpjcnBZNXNpU0ROX2dNR2NjSlBEVnp1YVBGTl9lcVhNSjVfZ2JCMDl5aGhZbGZqUUQ5MXZDX0xMNjFwRmxBcVZkRU5ya1dKSWxqb3BkcEd3c2pTV0hKT0g4c2pXRU01VmJMNEgzcE9peVh4ai1na2pkcE0?oc=5</t>
  </si>
  <si>
    <t>The sentiment is 'bullish' because a larger-than-expected crude draw indicates a tightening of the oil market supply, which typically leads to upward pressure on prices, justifying a bullish outlook on crude oil prices.</t>
  </si>
  <si>
    <t>Donald Trump to hit countries that buy Venezuelan oil with 25% tariff</t>
  </si>
  <si>
    <t>https://www.ft.com/content/a37a5d0c-4d51-49ff-a939-4f71dd095b3a</t>
  </si>
  <si>
    <t>The sentiment is not 'bullish' because a 25% tariff on countries that buy Venezuelan oil would likely reduce global oil demand, increase prices, and potentially disrupt trade flows, ultimately exerting downward pressure on oil prices, not upward.</t>
  </si>
  <si>
    <t>Fresh US tariff concern for India as Trump threatens 25% duty on Venezuelan oil buyers</t>
  </si>
  <si>
    <t>https://indianexpress.com/article/business/us-tariff-india-trump-venezuelan-oil-buyers-supply-constraints-prices-9904471/</t>
  </si>
  <si>
    <t>The sentiment is 'bearish' because the imposition of 25% duty on Venezuelan oil buyers by the US would likely disrupt global oil supply chains, increase costs for Indian refiners, and ultimately lead to higher oil prices, which would be a negative development for the oil market.</t>
  </si>
  <si>
    <t>Oil Prices Start the Week With a Dip - Crude Oil Prices Today | OilPrice.com</t>
  </si>
  <si>
    <t>https://news.google.com/rss/articles/CBMilwFBVV95cUxNeW5naDFfYUplWjdNRnlCZ19PSGstMGpWQmFWeC1ESE9nTkNCWGlyMkY5RktaNFNCTXV6WURJWWVyUjRBY0V3dUFxbnlBUHk0YjBoUzhXTXN6MGF1dDE4S1JrbmtkOHNlaE00LTJlal9sTmJFSE9yTDI4RWl2NGFOYVlkYUlWRlhRNlBkVHgwTERBQUk5VFlr0gGcAUFVX3lxTE1fVzQ2VzBxSXBhRXJPaHJfeGd0Y3dEXy13N1dMcTJGSndmcGduWlpfNHlpRmI5WVVRVmM0cEg1MkE4djVYdTk4eUlYMkJqNHpmSC1UQ0NFNC1wZ3RZVVhXQjIyb0NsXy1tcmtBVGJTLW54MW1IcGFrODVnbk1rQzRZNkF2SVZfdzM2d01weGRDZzRlN2txMzh6ODNZTA?oc=5</t>
  </si>
  <si>
    <t>The sentiment is 'bearish' because the headline explicitly states that oil prices are experiencing a "dip", implying a downward movement, which is a characteristic of a bearish market sentiment.</t>
  </si>
  <si>
    <t>Oil rises 1% as Trump plans tariff on countries that buy Venezuelan oil, gas - Reuters</t>
  </si>
  <si>
    <t>https://news.google.com/rss/articles/CBMixgFBVV95cUxOWTFWWEJKczE2cjNiSjN5Y1hwOEtzYVA5cGVEODRZT2lvRnNubDM3TThvOExGdmFoZkE4Q3NIb29HRkRhVEhxWS1BNXdxR2ZXZlFoVDhyNlFEY0dJT2NybnI2NEdZYXQzVGo1bmdaSlZBaXM4OHRmNDRabENxRTZzNmJ3REU3cUp5OEZhZWFHNlBCWXVUbllYTm92azBZM05rZ1o1bExmSDdRVUp3bnFTanEza0JZTlhhUUFXeURLTW02TmpMTEE?oc=5</t>
  </si>
  <si>
    <t>The sentiment is 'bullish' because the proposed tariff on countries that buy Venezuelan oil and gas is likely to reduce global oil supply, which would support higher oil prices, thus justifying the 1% price increase.</t>
  </si>
  <si>
    <t>White House Narrows April 2 Tariffs - WSJ</t>
  </si>
  <si>
    <t>https://news.google.com/rss/articles/CBMimgFBVV95cUxOSndjSDRJMjlUa09fVkE3YWFaQ09HTEpXU1dycFBhcURkZlZHMmRxckRKQ3RTSy1EQUVwSFBydVVNRU9LVFZWS2xRLW5ILUhZRnFrcmpxWThpN2ZCeWxldFZlaDIzRVRxMzc1VDhMWlNFR2l5X2llYTJQZGNmZFo2dmY3SGFlYmRQdjAySlFQcEd5QkNpSXliaG93?oc=5</t>
  </si>
  <si>
    <t>The sentiment is 'bullish' because the delay or reduction of tariffs, which are a barrier to trade, can lead to increased economic activity, higher demand for oil, and subsequently higher oil prices.</t>
  </si>
  <si>
    <t>Oil prices rise for second consecutive week on expected tighter supply - Reuters</t>
  </si>
  <si>
    <t>https://news.google.com/rss/articles/CBMitwFBVV95cUxQWVpBb0pzS1E2TGIyVExwQUVYcVVuYzc0UEV0dVNmSTRFQ0w4YTV4QlU2aElCeHNtTHh2ZmVOSDMwREhLQXVMSUY0d09aanZtNGh6ajBqX09TYW1QTlJHTjk2Tlh2RzNINGdHYlF1aFdvN2kxU0tmR3otOW50TWZvemNkZTR3SlVpbnV2VG01aDNPRlJ4Q3pSSU10WVpER1JuUThScnhtZlUyNUo4RjZyeEtGZnNhQ2M?oc=5</t>
  </si>
  <si>
    <t>The sentiment is 'bullish' because the headline explicitly indicates an expectation of tighter supply, which would likely lead to higher prices, boosting the oil market's positive outlook.</t>
  </si>
  <si>
    <t>Oil prices rise for second consecutive week on expected tighter supply</t>
  </si>
  <si>
    <t>https://www.reuters.com/business/energy/oil-set-weekly-gain-iran-sanctions-opec-plan-rein-overproduction-2025-03-21/</t>
  </si>
  <si>
    <t>The sentiment is 'bullish' because the expected tightening of supply suggests a potential reduction in the global oil surplus, which would likely lead to higher prices and support the current upward trend in the market.</t>
  </si>
  <si>
    <t>Oil Prices Broadly Flat as Traders Digest Market Drivers - WSJ</t>
  </si>
  <si>
    <t>https://www.wsj.com/finance/commodities-futures/oil-rises-amid-geopolitical-tensions-that-boost-risk-of-supply-disruptions-f7eb75cb</t>
  </si>
  <si>
    <t>The sentiment is 'unrelated' because the headline is neutral and simply reports on the current state of oil prices without expressing a clear opinion or emotion, neither positive nor negative.</t>
  </si>
  <si>
    <t>Donald Trump imposes sanctions on Chinese companies over Iranian oil shipments</t>
  </si>
  <si>
    <t>https://www.ft.com/content/2f53be14-75b3-483c-8cc4-afcc1c153f47</t>
  </si>
  <si>
    <t>The sentiment is not 'bullish' because the imposition of sanctions on Chinese companies over Iranian oil shipments will likely disrupt global oil supplies, leading to increased prices and volatility in the market, which is typically a bearish outcome for oil consumers and the broader economy.</t>
  </si>
  <si>
    <t>Oil Extends Gain as US Sanctions on Iran Hit Chinese Refinery - Bloomberg.com</t>
  </si>
  <si>
    <t>https://news.google.com/rss/articles/CBMioAFBVV95cUxQNnlmTGJsek9QTkFPWFRERkNVOGRYRDVuUVQzclNaWkNJeG9JY3YwcUtsY0Y0VE1KUWZYSHRvb2xhY1k4dmsxNXNUcy1renpwWDNhRjJGdThmWkFQWUJWa3hjcEZiTDNoeU5iYmtHUUR0amtWTDl3bHJGZk9hb3MwWmlVeVcwd2hhcHFwSWJFNTJiRnlpLWxfTXRhMUFHN3hW?oc=5</t>
  </si>
  <si>
    <t>The sentiment is 'bullish' because the headline suggests that the US sanctions on Iran are having a tangible impact on the oil market, specifically by affecting a Chinese refinery, which implies a reduction in global supply and thus a potential price increase.</t>
  </si>
  <si>
    <t>Oil prices settle $1 higher after US issues new Iran-related sanctions</t>
  </si>
  <si>
    <t>https://www.reuters.com/business/energy/oil-prices-rise-us-data-middle-east-tensions-2025-03-20/</t>
  </si>
  <si>
    <t>The sentiment is 'bullish' because the imposition of new Iran-related sanctions by the US is likely to disrupt oil supplies from Iran, leading to concerns about a potential shortage and upward pressure on oil prices.</t>
  </si>
  <si>
    <t>$70 Oil Analysts Cut Forecasts as Supply Surges - Crude Oil Prices Today | OilPrice.com</t>
  </si>
  <si>
    <t>https://news.google.com/rss/articles/CBMilAFBVV95cUxOcjU5MUZQNlpjOVR4TVAtN0plTUFOT2pOOHJBZ0Jtd1U4R2J1OEp1a2wxSU9YWG5OZmJhNmcwQ05uZENNVUF6Z2RXSUFfbkxqbF9MaUNlYldPenNKWXU4OWhrNlRfUkRwekpyVXZWU2d2dm1OMzFETXZDaVZqTWd2WmRyQmh4WldZSlBQNl9MNW83VUdE0gGaAUFVX3lxTFByWm1jU0hjX1I1OG92aVlxbTFrZXU3T2lHOVRhRXpVNkpvZXd0a0RlbktxVTdtMk1PbERtYVh1RWpZYzByYnJ5aXBWRUN2a2VZRjV3SHF4RXpTV1ljUG1PbzhpYUJnSWxhVlBaUEFId2JPY1VNWVNYbV80cFNfcWItVERDdi1OY2xCTENqbnBwWFkzVkRMc244bWc?oc=5</t>
  </si>
  <si>
    <t>The sentiment is 'bearish' because the headline explicitly states that analysts are cutting their forecasts, implying a negative outlook on oil prices, which is further supported by the mention of a supply surge, a typical bearish market indicator.</t>
  </si>
  <si>
    <t>Oil prices settle $1 higher after US issues new Iran-related sanctions - Reuters</t>
  </si>
  <si>
    <t>https://news.google.com/rss/articles/CBMinAFBVV95cUxQUl9oeXA0aTgzbkxQbEVPQ3dVMVJ4TDZLQ3J3RmR0NjRUck9Vd1V0enVaSjlqZm9VdVdMdzE5aTRxeFZUUlZaUlRHRWNrZWQwSS1YUUN5eWpqY3kxRGpaUHF4amNFeUo0SlBsdXlTSDNwUWY0YTZsQUhEYWc3bmFmUkRWbWdkV2hYSE5GM3dDZkRBOWpESGhjQVJ2Yzg?oc=5</t>
  </si>
  <si>
    <t>The sentiment is 'bullish' because the imposition of new sanctions on Iran, a major oil producer, is likely to disrupt oil supplies and reduce global output, which would support higher oil prices.</t>
  </si>
  <si>
    <t>Oil Titans Uneasy Over Tariffs and Crude Prices Meet With Trump</t>
  </si>
  <si>
    <t>https://www.msn.com/en-us/money/markets/oil-titans-uneasy-over-tariffs-and-crude-prices-meet-with-trump/ar-AA1Be4gX</t>
  </si>
  <si>
    <t>The sentiment is 'bullish' because the meeting between oil titans and Trump indicates a potential for government support or intervention to stabilize crude prices, which could alleviate the industry's concerns and boost confidence in the market.</t>
  </si>
  <si>
    <t>Commonwealth Bank CEO Says Australia Resilient to Trade War Risk</t>
  </si>
  <si>
    <t>https://www.google.com/url?sa=t&amp;rct=j&amp;q=&amp;esrc=s&amp;source=newssearch&amp;cd=&amp;ved=2ahUKEwjt6PyRs5eMAxVoRmcHHcOiNrMQxfQBKAB6BAgLEAE&amp;url=https%3A%2F%2Fwww.bloomberg.com%2Fnews%2Farticles%2F2025-03-18%2Fcommonwealth-bank-ceo-says-australia-resilient-to-trade-war-risk&amp;usg=AOvVaw0WqG16FNdAR5OfWunXkp_U&amp;opi=89978449</t>
  </si>
  <si>
    <t>The sentiment is 'bullish' because the CEO of Australia's largest bank is expressing confidence in the country's ability to weather potential economic headwinds, implying a stable financial environment, which is typically associated with positive market sentiment.</t>
  </si>
  <si>
    <t>Oil Holds Drop With US Stockpile Climb and Geopolitics in Focus - Bloomberg.com</t>
  </si>
  <si>
    <t>https://news.google.com/rss/articles/CBMioAFBVV95cUxOZkR1TzM5RXVibzF0YXhGMWg5X3RYWVM4Si1obXJsM21wLWtTR0ZxTXJWUnpudUcxdkx3am5GY3hSRXFfNnMySDQ4R000V3JkNHNnNGl4WmxSOHYtTGNDUmVLSmlKWXFaRkxLeEE2SElIVkVVME5zZ05Jb0NBWFdwUkJreGl0RnJvSVU5aVBWS3pySDV0TS02azBpU1BIWk1w?oc=5</t>
  </si>
  <si>
    <t>The sentiment is 'bearish' because the headline suggests that oil prices are declining due to a climb in US stockpiles, which implies a surplus in supply and weaker demand, as well as ongoing geopolitical tensions that could further dampen market sentiment.</t>
  </si>
  <si>
    <t>Greenpeace Ordered to Pay Hundreds of Millions in Oil-Pipeline Suit - WSJ</t>
  </si>
  <si>
    <t>https://news.google.com/rss/articles/CBMirAFBVV95cUxPTUw0NXlIQ195ck1Ja1NyOE5jalZLdTJQcHU2bzhydC1fSm94bWNPRVlUdUpEcXBiVWdtcGRQNHcwc1RKV0JGbU1RNmpIc3h1dUV3RllETzM5VGMyMHJIRndOdncyd1hrSk9zdGMzbzByTkwxekRCZGc2a3NPMVZJRlg5V2hKMHFDbFBfUm1TWFJmc0R4dndlOTd5VXNVQW9IaWRKWTdkblZHUnYw?oc=5</t>
  </si>
  <si>
    <t>The sentiment is 'bullish' because the court ruling against Greenpeace, a prominent environmental group, could be seen as a victory for the oil industry, potentially reducing regulatory barriers and legal challenges to pipeline projects, which could lead to increased investment and growth in the sector.</t>
  </si>
  <si>
    <t>Brent crude slips to discount against Dubai</t>
  </si>
  <si>
    <t>https://www.reuters.com/business/energy/brent-crude-flips-discount-against-dubai-first-time-since-nov-2023-data-shows-2025-03-19/</t>
  </si>
  <si>
    <t>The sentiment is 'unrelated' because the headline simply reports a factual observation about the price relationship between two crude oil benchmarks, Brent and Dubai, without expressing a positive, negative, or neutral emotional tone towards the event.</t>
  </si>
  <si>
    <t>WiseTech Finds Founder White Misled Board, Takes No Action</t>
  </si>
  <si>
    <t>https://www.google.com/url?sa=t&amp;rct=j&amp;q=&amp;esrc=s&amp;source=newssearch&amp;cd=&amp;cad=rja&amp;uact=8&amp;ved=2ahUKEwjt6PyRs5eMAxVoRmcHHcOiNrMQxfQBKAB6BAgIEAE&amp;url=https%3A%2F%2Fwww.bloomberg.com%2Fnews%2Farticles%2F2025-03-18%2Fwisetech-s-white-failed-to-fully-disclose-relationships-to-board&amp;usg=AOvVaw0refnjjVTnGmm77JzBC9CF&amp;opi=89978449</t>
  </si>
  <si>
    <t>The sentiment is 'unrelated' because the headline appears to be discussing a corporate governance issue within a technology company, WiseTech, which has no apparent connection to the oil market, making it an unrelated topic for an oil market analyst.</t>
  </si>
  <si>
    <t>Goldman Sachs sees downside risk to oil price view amid tariffs, spare capacity</t>
  </si>
  <si>
    <t>https://www.reuters.com/business/energy/goldman-sachs-sees-downside-risk-oil-price-view-amid-tariffs-spare-capacity-2025-03-19/</t>
  </si>
  <si>
    <t>The sentiment is 'bearish' because the mention of "downside risk" and the citing of tariffs and spare capacity as factors that could negatively impact oil prices implies that Goldman Sachs is forecasting a potential decrease in oil prices, which is inherently a bearish outlook.</t>
  </si>
  <si>
    <t>Exclusive | Trump Considers Extending Chevron License to Pump Oil in Venezuela - WSJ</t>
  </si>
  <si>
    <t>https://news.google.com/rss/articles/CBMisAFBVV95cUxPREhmeENuRC1nQ3otRlNqSGZUUTNLNjRGZzV6TTd2UjFDakNwRmNlUEVPTE5BZW9MVHFqQWZ2bUNObDlySXo2aVdJd1Nham4zeFZrZ1AxdEw5aWNBNngwNnF6aVYwMjNTNFJtWEdtcVFZektKTEZzWUdRd2ducWtybmNQZXd4WEYtRDV4dWxiY3JKMnNuandKaXpydHNvM2pMN2c5SEc2NGE3N0FpSTdybg?oc=5</t>
  </si>
  <si>
    <t>The sentiment is 'bullish' because the potential extension of Chevron's license to pump oil in Venezuela could signal a relaxation of US sanctions, potentially increasing oil production and exports from the country, which could lead to increased global oil supply and put downward pressure on prices.</t>
  </si>
  <si>
    <t>Oil prices ease as Ukraine peace talks offset Mideast instability worries</t>
  </si>
  <si>
    <t>https://www.reuters.com/business/energy/oil-prices-muted-slowdown-worries-offset-china-data-mideast-risks-2025-03-18/</t>
  </si>
  <si>
    <t>The sentiment is 'bearish' because the headline suggests that oil prices are easing, implying a decrease in price, which is typically associated with a bearish market sentiment where investors are pessimistic about the asset's value.</t>
  </si>
  <si>
    <t>Fund Bets Brent Oil Will Rise Toward $100 as Risk Premium Grows</t>
  </si>
  <si>
    <t>https://www.google.com/url?sa=t&amp;rct=j&amp;q=&amp;esrc=s&amp;source=newssearch&amp;cd=&amp;cad=rja&amp;uact=8&amp;ved=2ahUKEwjt6PyRs5eMAxVoRmcHHcOiNrMQxfQBKAB6BAgREAE&amp;url=https%3A%2F%2Fwww.bloomberg.com%2Fnews%2Farticles%2F2025-03-17%2Ffund-bets-brent-oil-will-rise-toward-100-as-risk-premium-grows&amp;usg=AOvVaw2xfNTFWnCQOdC0pEp444vd&amp;opi=89978449</t>
  </si>
  <si>
    <t>The sentiment is 'bullish' because the headline suggests that the fund is expecting Brent oil prices to rise towards $100, implying a strong demand or supply imbalance that will drive prices higher, which is a characteristic of a bullish market outlook.</t>
  </si>
  <si>
    <t>Oil prices ease as Ukraine peace talks offset Mideast instability worries - Reuters</t>
  </si>
  <si>
    <t>https://news.google.com/rss/articles/CBMiuAFBVV95cUxQOE9sOXV1WEw0dWNrR0ExTlpHMDl2VkZCQTVNYldYb0FOUzU2MmQ5RU02QTNMMlVVUzRWREMwdFRfcDJQWk1ud2JKTVowajRGXzh3bW51eGc0Q3pwRWtNei0waDVvUkJFSzBzd0VFOEpkWFMtWl9QZE5RV3c0RGM3dFR3YzhvbGJiYU1VWVRSNHJGdzNPS0gzNVF0STNkbERYbW1LZ0VKc0dJaWpkVDl5b1RFNUJNbW9u?oc=5</t>
  </si>
  <si>
    <t>The sentiment is 'bearish' because the headline suggests that oil prices are decreasing due to peace talks in Ukraine, which implies a reduced risk of supply disruptions, thereby alleviating upward pressure on prices.</t>
  </si>
  <si>
    <t>Wall Street Braces for Oil in $60s Range on Tariff, OPEC+ Risks</t>
  </si>
  <si>
    <t>https://www.google.com/url?sa=t&amp;rct=j&amp;q=&amp;esrc=s&amp;source=newssearch&amp;cd=&amp;cad=rja&amp;uact=8&amp;ved=2ahUKEwjt6PyRs5eMAxVoRmcHHcOiNrMQxfQBKAB6BAgSEAE&amp;url=https%3A%2F%2Fwww.bloomberg.com%2Fnews%2Farticles%2F2025-03-17%2Fwall-street-braces-for-oil-in-60s-range-on-tariff-opec-risks&amp;usg=AOvVaw3RxZLZhNifAMrn2GrMY6BI&amp;opi=89978449</t>
  </si>
  <si>
    <t>The sentiment is 'bearish' because the headline suggests that Wall Street is preparing for a potential decline in oil prices due to the risks posed by tariffs and OPEC+ decisions, implying a negative outlook on the market.</t>
  </si>
  <si>
    <t>Turkey shifts away from Russian crude as Tupras buys from Brazil</t>
  </si>
  <si>
    <t>https://www.bnnbloomberg.ca/markets/oil/2025/03/18/turkey-shifts-away-from-russian-crude-as-tupras-buys-from-brazil/</t>
  </si>
  <si>
    <t>The sentiment is 'bullish' because Turkey's decision to diversify its crude oil supplies away from Russia and towards Brazil indicates a potential increase in global oil trade and demand, which could lead to higher oil prices and a more optimistic outlook for the oil market.</t>
  </si>
  <si>
    <t>Oil Holds Gains With China Demand and Geopolitical Risk in Focus - Bloomberg.com</t>
  </si>
  <si>
    <t>https://news.google.com/rss/articles/CBMioAFBVV95cUxPeTY5b3NpdEQ4cHRFSHVmQktZckdpdTlpemR2amwzd2Y0QmdvSXFaZUd6aFR6VFlwcDA1YkNvVWg5SU5KZXR5UnZ3RDBOQkpUMFE1UDdSdjBLYnJ6M0Jra1RKOUg2eUZYRmZnWGIxMmI2UjREVVdQSjk5Ylltc2doS19SSjZBUk9Kckg5Zlk4RkM4UVZCSThLN1c2XzAtbHdr?oc=5</t>
  </si>
  <si>
    <t>The sentiment is 'bullish' because the headline highlights two supportive factors for oil prices, namely, increased demand from China and geopolitical risks, which can lead to reduced supply and higher prices.</t>
  </si>
  <si>
    <t>Oil prices tick up on US attack on Houthis, China economic hopes</t>
  </si>
  <si>
    <t>https://www.reuters.com/business/energy/brent-crude-opens-week-higher-us-vows-keep-attacking-houthis-2025-03-16/</t>
  </si>
  <si>
    <t>The sentiment is 'bullish' because the US attack on Houthis, a Yemeni rebel group, suggests potential disruption to oil supplies, while improving economic hopes in China, the world's largest oil importer, imply increased demand, both of which are supportive of higher oil prices.</t>
  </si>
  <si>
    <t>â€˜We RFKâ€™d the Fries:â€™ Restaurant Chains Tout Their Removal of Seed Oils - WSJ</t>
  </si>
  <si>
    <t>https://news.google.com/rss/articles/CBMiqAFBVV95cUxOTmRNTTFGZXNCRHN3aVEzcGt0aEYtWEE4QkVhdFMxUXFTQjlIRW9BTXFhNG90ZGNLY3Z0QzNQU08yQjdNbmRIdUp6VXJHU2NtUE1rVUN5ckNzT3lzV01zcElOTnJUR2ktWFMxMGVkSVF4dmU2M0RLekZiblZ5NlA4TmV6MnRheTlEZzMwN3p1amlOT3BGMnpLVjgzWEM4N0NHRlhoUEhCemE?oc=5</t>
  </si>
  <si>
    <t>The sentiment is 'unrelated' because the headline is focused on restaurant chains removing seed oils from their menu, which is a consumer-facing issue, and does not have any direct implication on the oil market or oil prices, making it unrelated to the realm of oil market analysis.</t>
  </si>
  <si>
    <t>Oil up 1% as US vows to keep attacking Houthis</t>
  </si>
  <si>
    <t>https://www.google.com/url?sa=t&amp;rct=j&amp;q=&amp;esrc=s&amp;source=newssearch&amp;cd=&amp;ved=2ahUKEwj_hMLs2JeMAxXtfGwGHQO6NEoQxfQBKAB6BAgLEAE&amp;url=https%3A%2F%2Fsg.finance.yahoo.com%2Fnews%2Fbrent-crude-opens-week-higher-222629806.html&amp;usg=AOvVaw30RBOifv5X53FTRHG0o0QR&amp;opi=89978449</t>
  </si>
  <si>
    <t>The sentiment is 'bullish' because the announcement of continued attacks on Houthi rebels in Yemen by the US is likely to disrupt oil supplies from the Middle East, leading to concerns over potential supply shortages and driving up oil prices.</t>
  </si>
  <si>
    <t>Wall Street Braces for Oil in $60s Range on Tariff, OPEC+ Risks - Bloomberg.com</t>
  </si>
  <si>
    <t>https://news.google.com/rss/articles/CBMisAFBVV95cUxPZElnQnk3OFYtWDFTa3l3V0FLWUFWQTI2VnRLbWRyMUJZdllST2ZtN19mVUZWd2NZMENJTTBaYnJqUFdKWVdIamt4d2lWVnBuS1pBRlFPbjdqMW1KWDFTR3l4c2lKaTZLdExLQ2lKbFJMRnRxdUVCeG56SkhZSWhVcnYzeXdIdjNxOFRMbFU2VDFZSW1nbVZQSWdrRDhyanF6V1NRaU5JUVY0bWJxbVVPMQ?oc=5</t>
  </si>
  <si>
    <t>The sentiment is 'bearish' because the headline highlights the potential risks from tariffs and OPEC+ decisions, which could lead to increased volatility and downward pressure on oil prices, thereby justifying a bearish outlook.</t>
  </si>
  <si>
    <t>US-India trade talks: Fixed quota for US oil imports on the cards</t>
  </si>
  <si>
    <t>https://www.livemint.com/industry/energy/us-oil-imports-us-india-trade-negotiations-donald-trump-reciprocal-tariff-lng-trade-deficit-11742110737413.html</t>
  </si>
  <si>
    <t>The sentiment is 'bullish' because a fixed quota for US oil imports could provide a sense of stability and consistency in demand for US oil producers, which could lead to increased investment and production, ultimately supporting higher prices.</t>
  </si>
  <si>
    <t>Five Key Charts to Watch in Global Commodity Markets This Week</t>
  </si>
  <si>
    <t>https://www.google.com/url?sa=t&amp;rct=j&amp;q=&amp;esrc=s&amp;source=newssearch&amp;cd=&amp;cad=rja&amp;uact=8&amp;ved=2ahUKEwjD9uKxxpGMAxULp1YBHUWeOOUQxfQBKAB6BAgSEAE&amp;url=https%3A%2F%2Fwww.bloomberg.com%2Fnews%2Farticles%2F2025-03-16%2Ffive-key-charts-to-watch-in-global-commodity-markets-this-week&amp;usg=AOvVaw3i8qVUmhvL0Vfvq1hIS47f&amp;opi=89978449</t>
  </si>
  <si>
    <t>The sentiment is 'unrelated' because the headline appears to be neutral and informative, providing a general overview of key charts to watch in global commodity markets, without expressing a specific opinion, emotion, or bias towards a particular commodity or market direction.</t>
  </si>
  <si>
    <t>Oil Advances After China Lays Out Steps to Boost Consumption</t>
  </si>
  <si>
    <t>https://www.google.com/url?sa=t&amp;rct=j&amp;q=&amp;esrc=s&amp;source=newssearch&amp;cd=&amp;cad=rja&amp;uact=8&amp;ved=2ahUKEwjD9uKxxpGMAxULp1YBHUWeOOUQxfQBKAB6BAgQEAE&amp;url=https%3A%2F%2Fwww.bloomberg.com%2Fnews%2Farticles%2F2025-03-16%2Flatest-oil-market-news-and-analysis-for-march-17&amp;usg=AOvVaw0aSgzB2jyAEPO51neeCNeV&amp;opi=89978449</t>
  </si>
  <si>
    <t>The sentiment is 'bullish' because China's steps to boost consumption are likely to increase demand for oil, which could lead to higher prices and a more optimistic outlook for the oil market.</t>
  </si>
  <si>
    <t>Fund Bets Brent Oil Will Rise Toward $100 as Risk Premium Grows - Bloomberg.com</t>
  </si>
  <si>
    <t>https://news.google.com/rss/articles/CBMiswFBVV95cUxOMFM1WEp0akRQNktld3hMRXB1a0s4cnR0bXJaN3kzNUw3bGg3ZVE3MDEyaDhYbHcxMnFHMGp3aTZONFVveWxfOC1naUhpMW1ncUJ6bGFMWW1FdGo2eXlia0NIdVVFNlg5ak9Demt4RzhRLWxabnNocTByQTUzNmlQQVh4dDVhc19ZZHJfY2drMUlPMTlFZElfQTg4QVdvN0NUQkFnRzBoUm5oT2RtTUhLdmdUbw?oc=5</t>
  </si>
  <si>
    <t>The sentiment is 'bullish' because the headline indicates that the fund is betting on Brent oil prices rising towards $100, implying a positive outlook for oil prices, driven by a growing risk premium, which suggests that the market is pricing in potential supply disruptions or geopolitical tensions.</t>
  </si>
  <si>
    <t>Oil prices tick up on US attack on Houthis, China economic hopes - Reuters</t>
  </si>
  <si>
    <t>https://news.google.com/rss/articles/CBMisgFBVV95cUxPckRETEVFS3VtbklKR0pGNHNPWDVxSkRqbW9hblFfMFVsdTB5NEZTc0dkcm05SGh0eEZTWW1UMm1zc1VqcnU5TlJQYVB2OVFkcDhVWjBvWWhCUVBSVjVOUWRsUXcyOGlEZzQ1ckNPV3lfMDVCbmptQ0x1N0FRdzVXczc3ckJZaVhQMGg2LXBRVXRLSk5rTWRRVll6em1DRHRuR0hGajFkd2lhMG5GTm5pN1l3?oc=5</t>
  </si>
  <si>
    <t>The sentiment is 'bullish' because the headline suggests that oil prices are increasing due to geopolitical tensions and positive economic hopes, implying that demand is expected to remain strong or even increase, which is a positive sign for oil prices.</t>
  </si>
  <si>
    <t>Oil rises on US attack on Houthis, China economic hopes</t>
  </si>
  <si>
    <t>https://ca.finance.yahoo.com/news/brent-crude-opens-week-higher-222629730.html</t>
  </si>
  <si>
    <t>The sentiment is 'bullish' because the headline suggests that oil prices are increasing due to a geopolitical event (US attack on Houthis) that might disrupt oil supplies, and also due to optimistic expectations about China's economy, which could lead to increased oil demand.</t>
  </si>
  <si>
    <t>Goldman Cuts Oil Price Forecasts on Slow US Growth, OPEC+ Policy</t>
  </si>
  <si>
    <t>https://www.google.com/url?sa=t&amp;rct=j&amp;q=&amp;esrc=s&amp;source=newssearch&amp;cd=&amp;cad=rja&amp;uact=8&amp;ved=2ahUKEwjD9uKxxpGMAxULp1YBHUWeOOUQxfQBKAB6BAgOEAE&amp;url=https%3A%2F%2Fwww.bloomberg.com%2Fnews%2Farticles%2F2025-03-16%2Fgoldman-cuts-oil-price-forecasts-on-slow-us-growth-opec-policy%3Fsrnd%3Dphx-markets&amp;usg=AOvVaw3RGv-7lb-W1lRpYNCgbEwU&amp;opi=89978449</t>
  </si>
  <si>
    <t>The sentiment is 'bearish' because the combination of slowing US growth, which could lead to reduced oil demand, and OPEC+ policy, which may not be supportive enough to counterbalance this demand weakness, suggests a downward pressure on oil prices.</t>
  </si>
  <si>
    <t>Goldman Cuts Oil Forecasts on Slow US Growth, OPEC+ Policy</t>
  </si>
  <si>
    <t>https://www.google.com/url?sa=t&amp;rct=j&amp;q=&amp;esrc=s&amp;source=newssearch&amp;cd=&amp;ved=2ahUKEwjt6PyRs5eMAxVoRmcHHcOiNrMQxfQBKAB6BAgOEAE&amp;url=https%3A%2F%2Fwww.bloomberg.com%2Fnews%2Farticles%2F2025-03-16%2Fgoldman-cuts-oil-price-forecasts-on-slow-us-growth-opec-policy%3Fsrnd%3Dphx-markets&amp;usg=AOvVaw3RGv-7lb-W1lRpYNCgbEwU&amp;opi=89978449</t>
  </si>
  <si>
    <t>The sentiment is 'bearish' because the headline implies that Goldman Sachs, a reputable investment bank, is reducing its oil price forecasts due to concerns over slow US economic growth and OPEC+ policy, suggesting a downward pressure on oil prices.</t>
  </si>
  <si>
    <t>Oil's Oversupply Spiral Can Prices Stay Above $60 - Crude Oil Prices Today | OilPrice.com</t>
  </si>
  <si>
    <t>https://news.google.com/rss/articles/CBMilAFBVV95cUxNakhtR0hha0x5MXJISDg0WDBpQVFCYnVTZjZxYzdWNXZla2x5ZTZpUHhvaVZ5ajVFN0hmRU9tRFhDSEJBNTRxSEgtdk9SWDhCYWgzeDdtT3VvUFllZXFLbFpKM04yM1VjcHFpTU1ZWEQyeEMzWHZZZC1RZzRFeWdfd2loWl9Zc3lZSEY0TF9UV2FLYnVz0gGaAUFVX3lxTE5lQVdTeHZZbElwX2g5YnZIaXFkcTdyMGxZbG00V0pDUldmQ1ltQkNFcWlhODdJYXdNdm1LWDZvUTNhNTZuME42U2hqQjBQclNVZ0xRd0tkWEZRZUtTRk9zVVQwN3NReW9fNGZnUGFPY3BTbXBoTzJZY0p2T0tyaFhQWWRZd09XV2Q3VDBLVWRpR0w2cG9BekgyTXc?oc=5</t>
  </si>
  <si>
    <t>The sentiment is 'bearish' because the headline implies that the oversupply situation is becoming self-reinforcing, suggesting that prices may struggle to stay above $60, implying a potential downward trend in crude oil prices.</t>
  </si>
  <si>
    <t>Brent crude opens week higher as US vows to keep attacking Houthis By Reuters</t>
  </si>
  <si>
    <t>https://ca.investing.com/news/commodities-news/brent-crude-opens-week-higher-as-us-vows-to-keep-attacking-houthis-3905687</t>
  </si>
  <si>
    <t>The sentiment is 'bullish' because the US's vow to continue attacking Houthis implies a potential disruption to Yemen's oil production and/or exports, which could lead to a reduction in global oil supply and subsequently drive up crude prices.</t>
  </si>
  <si>
    <t>Barclays cuts 2025 Brent oil price forecast on soft demand view</t>
  </si>
  <si>
    <t>https://www.reuters.com/business/energy/barclays-cuts-2025-brent-oil-price-forecast-soft-demand-view-2025-03-14/</t>
  </si>
  <si>
    <t>The sentiment is 'bearish' because a reduction in the oil price forecast implies that Barclays expects the market to be oversupplied or demand to be weaker than previously thought, which would put downward pressure on prices.</t>
  </si>
  <si>
    <t>Hedge Fund Bets on WTI, Brent Diverge as Trade War Roils Markets</t>
  </si>
  <si>
    <t>https://finance.yahoo.com/news/hedge-fund-bets-wti-brent-210020332.html</t>
  </si>
  <si>
    <t>The sentiment is not 'bullish' because the headline suggests that the trade war is causing market volatility, which is typically a bearish signal, and the divergence in bets between WTI and Brent could indicate uncertainty and instability in the oil market rather than a clear upward trend.</t>
  </si>
  <si>
    <t>Sub-$60 Oil Would Undercut US Shale Production, Citigroup Says</t>
  </si>
  <si>
    <t>https://www.google.com/url?sa=t&amp;rct=j&amp;q=&amp;esrc=s&amp;source=newssearch&amp;cd=&amp;cad=rja&amp;uact=8&amp;ved=2ahUKEwjD9uKxxpGMAxULp1YBHUWeOOUQxfQBKAB6BAgKEAE&amp;url=https%3A%2F%2Fwww.bloomberg.com%2Fnews%2Farticles%2F2025-03-14%2Fsub-60-oil-would-undercut-us-shale-production-citigroup-says&amp;usg=AOvVaw0LzF923WwNGwEOvESAlehh&amp;opi=89978449</t>
  </si>
  <si>
    <t>The sentiment is 'bearish' because a sub-$60 oil price would likely lead to reduced investment and production in US shale, which would have a negative impact on the overall oil market and the US energy sector.</t>
  </si>
  <si>
    <t>Oilâ€™s Houston Homecoming Overshadowed by Trade War, Price Drop</t>
  </si>
  <si>
    <t>https://www.google.com/url?sa=t&amp;rct=j&amp;q=&amp;esrc=s&amp;source=newssearch&amp;cd=&amp;cad=rja&amp;uact=8&amp;ved=2ahUKEwjD9uKxxpGMAxULp1YBHUWeOOUQxfQBKAB6BAgJEAE&amp;url=https%3A%2F%2Fwww.bloomberg.com%2Fnews%2Farticles%2F2025-03-14%2Foil-s-houston-homecoming-overshadowed-by-trade-war-price-drop&amp;usg=AOvVaw1bJ7ttQwX3nuaxHHHTTwQ9&amp;opi=89978449</t>
  </si>
  <si>
    <t>The sentiment is 'bearish' because the headline highlights two negative factors, the trade war and price drop, which are likely to depress oil prices and dampen the optimism surrounding the "Houston Homecoming" event, suggesting a pessimistic outlook for the oil market.</t>
  </si>
  <si>
    <t>Barclays cuts 2025 Brent price forecast on soft demand view</t>
  </si>
  <si>
    <t>https://www.tradingview.com/news/reuters.com,2025:newsml_FWN3PW1RH:0-barclays-cuts-2025-brent-price-forecast-on-soft-demand-view/</t>
  </si>
  <si>
    <t>The sentiment is 'bearish' because a cut in the price forecast implies that Barclays expects oil prices to be lower than previously thought, which is a negative outlook for the oil market and its stakeholders.</t>
  </si>
  <si>
    <t>Oil rebounds 1% to end week steady amid prospect of Ukraine ceasefire</t>
  </si>
  <si>
    <t>https://www.reuters.com/markets/commodities/oil-bounces-ukraine-ceasefire-deal-remains-elusive-2025-03-14/</t>
  </si>
  <si>
    <t>The sentiment is 'bullish' because the rebound in oil prices, even if only by 1%, suggests that market participants are optimistic about the potential for a decrease in demand destruction and improved global energy security in the event of a Ukraine ceasefire.</t>
  </si>
  <si>
    <t>Stock Market News, March 14, 2025: Dow Rises More Than 600 Points After Shutdown Averted - WSJ</t>
  </si>
  <si>
    <t>https://news.google.com/rss/articles/CBMihgFBVV95cUxPNjZ2RTRLU3ZaSGNmMzFWbk1rcFBaWDE2WmY3OXdGMG9Ycm81R3ZwakFfSHo3eGMycE02QTlOMVlESHVvZ1UxSVl1b3VyUTh5WUFJS3gwZXhFUVJkd0JpSEpMT1h4Z2tPS0diamM4cE9XRE92akVRTEp4d2lsdXc1ODRyQXdUdw?oc=5</t>
  </si>
  <si>
    <t>The sentiment is 'bullish' because the Dow's 600-point rise following the aversion of a government shutdown suggests a significant boost in investor confidence and relief, which is likely to have a positive impact on the overall market and related assets, including oil.</t>
  </si>
  <si>
    <t>Oil Gains as Immediate Ukraine Ceasefire Hopes Fade</t>
  </si>
  <si>
    <t>https://www.wsj.com/finance/commodities-futures/oil-rises-on-possible-technical-recovery-3c25acbb</t>
  </si>
  <si>
    <t>The sentiment is 'bullish' because the fading of ceasefire hopes in Ukraine suggests a higher likelihood of continued geopolitical tensions, which can lead to supply disruptions and increased oil prices.</t>
  </si>
  <si>
    <t>Abu Dhabiâ€™s Adnoc Is Said to Mull Buying Mubadala Energy Assets</t>
  </si>
  <si>
    <t>https://www.google.com/url?sa=t&amp;rct=j&amp;q=&amp;esrc=s&amp;source=newssearch&amp;cd=&amp;cad=rja&amp;uact=8&amp;ved=2ahUKEwjX-LCzx5GMAxWazDgGHW6hLg04ChDF9AEoAHoECAkQAQ&amp;url=https%3A%2F%2Fwww.bloomberg.com%2Fnews%2Farticles%2F2025-03-14%2Fabu-dhabi-s-adnoc-is-said-to-mull-buying-mubadala-energy-assets&amp;usg=AOvVaw1QBlM_ke7KZQeeYvxAqer8&amp;opi=89978449</t>
  </si>
  <si>
    <t>The sentiment is 'unrelated' because the article is simply reporting on a potential M&amp;A deal between two Abu Dhabi-based companies, Adnoc and Mubadala, without expressing a clear opinion or emotional tone, thereby not conveying a positive, negative, or neutral sentiment.</t>
  </si>
  <si>
    <t>Petronas Is Evaluating Exit From Argentina Shale Oil Venture</t>
  </si>
  <si>
    <t>https://www.google.com/url?sa=t&amp;rct=j&amp;q=&amp;esrc=s&amp;source=newssearch&amp;cd=&amp;cad=rja&amp;uact=8&amp;ved=2ahUKEwjX-LCzx5GMAxWazDgGHW6hLg04ChDF9AEoAHoECBMQAQ&amp;url=https%3A%2F%2Fwww.bloomberg.com%2Fnews%2Farticles%2F2025-03-13%2Fpetronas-is-said-to-eye-exit-from-argentina-shale-oil-venture&amp;usg=AOvVaw3-zwxWp3I8APagCYXwrEV2&amp;opi=89978449</t>
  </si>
  <si>
    <t>The sentiment is 'bearish' because Petronas' potential exit from the Argentina shale oil venture suggests a loss of confidence in the project's profitability, which could have negative implications for the company's stock price and the overall oil market sentiment.</t>
  </si>
  <si>
    <t>Saudi Aramco Oil Sales to China Set to Fall Sharply in April</t>
  </si>
  <si>
    <t>https://finance.yahoo.com/news/saudi-aramco-oil-sales-china-091624808.html</t>
  </si>
  <si>
    <t>The sentiment is 'bearish' because a sharp decline in Saudi Aramco's oil sales to China, a significant market, could indicate softer global demand and potentially lead to a surplus in the market, putting downward pressure on oil prices.</t>
  </si>
  <si>
    <t>Crude Oil Price Drop, Rate Cut Hope May Get India's Bulls Back in the Game</t>
  </si>
  <si>
    <t>https://www.google.com/url?sa=t&amp;rct=j&amp;q=&amp;esrc=s&amp;source=newssearch&amp;cd=&amp;cad=rja&amp;uact=8&amp;ved=2ahUKEwjX-LCzx5GMAxWazDgGHW6hLg04ChDF9AEoAHoECBAQAQ&amp;url=https%3A%2F%2Fwww.bloomberg.com%2Fnews%2Farticles%2F2025-03-13%2Findia-market-buzz-retail-investors-hold-ground-in-choppy-market&amp;usg=AOvVaw0cNR1gmM209h-eIgo5DbFF&amp;opi=89978449</t>
  </si>
  <si>
    <t>The sentiment is 'bullish' because the expectation of a rate cut, combined with a drop in crude oil prices, could lead to increased economic activity and consumer demand, which would likely boost the stock market and attract investors.</t>
  </si>
  <si>
    <t>Oil settles down more than 1% on tariff worry, supply-demand expectations</t>
  </si>
  <si>
    <t>https://www.reuters.com/business/energy/oil-dips-economic-concerns-supply-demand-expectations-weigh-2025-03-13/</t>
  </si>
  <si>
    <t>The sentiment is 'bearish' because the headline suggests that oil prices fell due to concerns over tariffs and supply-demand expectations, implying a negative outlook for the oil market.</t>
  </si>
  <si>
    <t>Oil dips as economic concerns, supply and demand expectations weigh</t>
  </si>
  <si>
    <t>https://www.reuters.com/business/energy/oil-eases-concerns-about-escalating-tariff-wars-impact-global-economy-2025-03-13/</t>
  </si>
  <si>
    <t>The sentiment is 'bearish' because the headline suggests that oil prices are decreasing due to concerns about the state of the economy and expectations of supply outpacing demand, which are both typically negative indicators for the oil market.</t>
  </si>
  <si>
    <t>Russiaâ€™s Budget Oil Revenue Spiked by Almost a Third in 2024</t>
  </si>
  <si>
    <t>https://www.bloomberg.com/news/articles/2025-01-13/russia-s-budget-oil-revenue-spiked-by-almost-a-third-in-2024</t>
  </si>
  <si>
    <t>Oil settles down more than 1% on tariff worry, supply-demand expectations - Reuters</t>
  </si>
  <si>
    <t>https://news.google.com/rss/articles/CBMisAFBVV95cUxQZEY4YVFZX1JnaXlFT0IwVEpIX1dxNW8wQlotQ0ZpRTBxdGo5czA4LW5lVS1vSzR2bW02clQ1ZVZMbzVIdjZ0X3l3VXFlaUU5enNUTWtzdmlFQkE1YW9pYzJQX1V5Qm9XLU1NODFFN0l5YXZkRy1obEstNFBLM0ltNHhvUmVlcENldEkzdzNCWDdDejhVZ2N2SXZadVNXbDVmOUQ3VlZSS0lMYkhCcDNpUw?oc=5</t>
  </si>
  <si>
    <t>The sentiment is 'bearish' because the headline suggests that oil prices fell due to concerns over tariffs, which could lead to decreased demand, and uncertainty around supply-demand expectations, implying a negative outlook for the oil market.</t>
  </si>
  <si>
    <t>Russian Oil Exports Almost Intact But Prices Take Hit, IEA Says</t>
  </si>
  <si>
    <t>https://www.google.com/url?sa=t&amp;rct=j&amp;q=&amp;esrc=s&amp;source=newssearch&amp;cd=&amp;cad=rja&amp;uact=8&amp;ved=2ahUKEwjX-LCzx5GMAxWazDgGHW6hLg04ChDF9AEoAHoECAoQAQ&amp;url=https%3A%2F%2Fwww.bloomberg.com%2Fnews%2Farticles%2F2025-03-13%2Frussian-oil-exports-almost-intact-but-prices-take-hit-iea-says&amp;usg=AOvVaw3BJ7Z2q3XS-lf6yNxKMuzZ&amp;opi=89978449</t>
  </si>
  <si>
    <t>The sentiment is 'bearish' because the headline suggests that despite Russian oil exports remaining resilient, prices are still taking a hit, implying a negative impact on the overall oil market.</t>
  </si>
  <si>
    <t>Australian Equities Futures Pointing Higher After Slump</t>
  </si>
  <si>
    <t>https://www.bloomberg.com/news/newsletters/2025-03-12/australian-equities-futures-pointing-higher-after-slump?srnd=ai-ethics-law-policy</t>
  </si>
  <si>
    <t>The sentiment is 'bullish' because the headline suggests a rebound in Australian equities futures after a decline, implying a potential turnaround and upward momentum in the market.</t>
  </si>
  <si>
    <t>OPEC+ Oil Production Surges as Kazakhstan Further Breaches Quota</t>
  </si>
  <si>
    <t>https://finance.yahoo.com/news/opec-oil-production-surges-kazakhstan-130000567.html</t>
  </si>
  <si>
    <t>The sentiment is 'bearish' because the surge in OPEC+ oil production, particularly due to Kazakhstan's breach of its quota, implies an increase in global oil supply, which could lead to downward pressure on oil prices.</t>
  </si>
  <si>
    <t>Would $50 oil really be good for the US?</t>
  </si>
  <si>
    <t>https://www.ft.com/content/95ea3a44-ae18-4763-b45d-47f113c9a549</t>
  </si>
  <si>
    <t>The sentiment is 'unrelated' because the headline poses a question that challenges a common assumption, making a clear positive or negative sentiment ambiguous, and instead encouraging the reader to consider the complexity of the issue.</t>
  </si>
  <si>
    <t>Top Oil Traders Turn Bearish on Prices, Seeing Oversupply - Bloomberg.com</t>
  </si>
  <si>
    <t>https://news.google.com/rss/articles/CBMirwFBVV95cUxNQlhrY0w4d0ZmUHd2MFlkMDVwZUhhSEs1N2Z6ZV9hWTlzUUtmcUtkNVQzclZTdzA0MElsd3FkRGRDSlZpRWVkQkFjSGh0R0tDbGtFalJub3M0cmdCaHZNM1k2X1pnT28xekNsVmxNVFhBU0pFeHIxV0c5NFRGUWFIZ1MyNjRZUjUyaFFmdnNTSThMSHdpY2hfa25Wcm91T21acHZjUGRPS3hQeDlpWDk4?oc=5</t>
  </si>
  <si>
    <t>The sentiment is 'bearish' because the headline indicates that top oil traders, who have significant expertise and market insight, are expecting prices to decline due to an oversupply, which suggests a negative outlook on the market.</t>
  </si>
  <si>
    <t>Crude Oil Price Drop, Rate Cut Hope May Get India's Bulls Back in the Game - Bloomberg.com</t>
  </si>
  <si>
    <t>https://news.google.com/rss/articles/CBMitAFBVV95cUxNeTNHQlRDZ2VZUm1CUEJjTVU0Mk5GX2tZUjR0dks4amNpMl9sOHlzWjREeTA0WWkyN2MxMFhsWFhnTWQ0ZkhRLWpfb081WnF0VlBRVzAxNnNYM1B5VEJqU3dWNEVDSTVwM0xQdUFHbUNWR1dpNnVSSmk0bFQ5MDM3MVNmMXh4NUpOMkxsVXlndGdseDJGMmhnT3pENzZIWlpYcHNUMHd5dEFJV080MzRlbUhIN18?oc=5</t>
  </si>
  <si>
    <t>The sentiment is 'bullish' because the headline suggests that a drop in crude oil prices and potential rate cuts could boost the Indian economy, which could lead to increased investor confidence and market optimism, supporting a bullish market outlook.</t>
  </si>
  <si>
    <t>E.P.A. Cancels Climate Grants, Intensifying Battle Over $20 Billion</t>
  </si>
  <si>
    <t>https://www.nytimes.com/2025/03/12/climate/epa-climate-grants-canceled.html</t>
  </si>
  <si>
    <t>The sentiment is 'bearish' because the cancellation of climate grants by the E.P.A. suggests that the government is scaling back efforts to transition to cleaner energy sources, which could lead to increased fossil fuel consumption and prices.</t>
  </si>
  <si>
    <t>Oil up 2% on tighter US supplies but tariff concerns loom - Reuters</t>
  </si>
  <si>
    <t>https://news.google.com/rss/articles/CBMiuAFBVV95cUxQeTZGMWxYb1NuRFk4MkhOaGdnR3k2T0kzMTFqTFpxX2dfRUdpZ1gzWkNGYlZ6dVI4QVBYQzdXMjdvQXRObEpjNGR6RHNwQ1ZQdTNuMm1aSDBoRW9TLU1lWVFQeFM5bWlQVG51ajktLWpLeGtYeU1uM293S2FBRkk5NEQ5Ry1jcE5JTUcxRGM5LURZQ0M3QzY0dXVVRWhtMDVlR2docm5BWVlESEdzNkJ6Q1dRLWF0WkhH?oc=5</t>
  </si>
  <si>
    <t>The sentiment is 'bullish' because the 2% increase in oil prices indicates a positive market response to the tighter US supplies, outweighing the potentially negative impact of tariff concerns, at least in the short term.</t>
  </si>
  <si>
    <t>Letter: Fossil fuel assets are not on such a slippery slope</t>
  </si>
  <si>
    <t>https://www.ft.com/content/76d734b0-0480-4cc6-af03-4f77a80537f8</t>
  </si>
  <si>
    <t>The sentiment is 'bullish' because the headline implies that the writer is arguing against the notion that fossil fuel assets are becoming worthless or stranded, suggesting that the value of these assets will be maintained or even increase.</t>
  </si>
  <si>
    <t>Oil Gains Off Less Than Expected U.S. Inventory Build, Dollar Weakness - WTI Crude Oil 3/12/25</t>
  </si>
  <si>
    <t>https://www.barchart.com/story/news/31378075/oil-gains-off-less-than-expected-u-s-inventory-build-dollar-weakness-wti-crude-oil-3-12-25?utm_source=agricharts</t>
  </si>
  <si>
    <t>The sentiment is 'bullish' because the headline suggests that oil prices are rising due to a smaller-than-expected increase in U.S. inventory levels, which indicates a tighter supply market, and is further supported by a weaker dollar, which makes commodities like oil more attractive to investors.</t>
  </si>
  <si>
    <t>Oil up 2% on tighter US supplies but tariff concerns loom</t>
  </si>
  <si>
    <t>https://www.reuters.com/business/energy/oil-prices-rise-weak-dollar-concerns-over-tariff-impact-cap-gains-2025-03-12/</t>
  </si>
  <si>
    <t>The sentiment is 'bullish' because the 2% increase in oil prices is driven by tighter US supplies, which is a fundamental bullish factor that outweighs the negative influence of tariff concerns, at least in the short term.</t>
  </si>
  <si>
    <t>India approves legislation to boost oil and gas exploration</t>
  </si>
  <si>
    <t>https://www.ft.com/content/98cf762e-6b72-4976-8681-cd2e3d2cdb92</t>
  </si>
  <si>
    <t>The sentiment is 'bullish' because the approval of legislation to boost oil and gas exploration in India is likely to increase investments, drilling activities, and ultimately, oil and gas production, which can lead to higher revenues and increased economic activity, benefiting the oil and gas sector as a whole.</t>
  </si>
  <si>
    <t>Oil settles slightly up on weaker dollar, US economic fears cap gains</t>
  </si>
  <si>
    <t>https://www.reuters.com/business/energy/oil-prices-edge-lower-concerns-over-tariff-impact-grow-2025-03-11/</t>
  </si>
  <si>
    <t>The sentiment is 'unrelated' because the headline is simply reporting on the daily price movement of oil due to external factors (weaker dollar and US economic fears) without expressing a clear positive, negative, or neutral opinion about the development.</t>
  </si>
  <si>
    <t>Oil Extends Drop as Risk-Off Mood Sends Markets Into Tailspin</t>
  </si>
  <si>
    <t>https://www.google.com/url?sa=t&amp;rct=j&amp;q=&amp;esrc=s&amp;source=newssearch&amp;cd=&amp;cad=rja&amp;uact=8&amp;ved=2ahUKEwjX-LCzx5GMAxWazDgGHW6hLg04ChDF9AEoAHoECAgQAQ&amp;url=https%3A%2F%2Fwww.bloomberg.com%2Fnews%2Farticles%2F2025-03-10%2Flatest-oil-market-news-and-analysis-for-march-11&amp;usg=AOvVaw3FDe2udX___MEDZh66PwXe&amp;opi=89978449</t>
  </si>
  <si>
    <t>The sentiment is 'bearish' because the headline suggests that oil prices are falling due to a broader market downturn, implying a lack of confidence in the economy and a decrease in demand for oil, which would negatively impact oil prices.</t>
  </si>
  <si>
    <t>Canada Is America's Real Oil Reserve</t>
  </si>
  <si>
    <t>https://www.google.com/url?sa=t&amp;rct=j&amp;q=&amp;esrc=s&amp;source=newssearch&amp;cd=&amp;cad=rja&amp;uact=8&amp;ved=2ahUKEwjX-LCzx5GMAxWazDgGHW6hLg04ChDF9AEoAHoECAsQAQ&amp;url=https%3A%2F%2Fwww.bloomberg.com%2Fopinion%2Farticles%2F2025-03-11%2Famerica-s-real-oil-reserves-are-in-canada&amp;usg=AOvVaw39eGnItZZDIcyHkJDzVPz-&amp;opi=89978449</t>
  </si>
  <si>
    <t>The sentiment is 'bullish' because the headline suggests that Canada's oil reserves are a reliable and abundant source of energy for the United States, implying a positive outlook for the North American energy market and potentially boosting investor confidence in the sector.</t>
  </si>
  <si>
    <t>Oil settles down 1.5% as tariffs prompt fears of slow demand</t>
  </si>
  <si>
    <t>https://www.reuters.com/business/energy/oil-prices-decline-investors-continue-fret-over-tariff-impact-2025-03-10/</t>
  </si>
  <si>
    <t>The sentiment is 'bearish' because a decline in oil prices, driven by concerns over slowing demand due to tariffs, suggests a negative outlook for the oil market, implying that market participants expect reduced consumption and lower prices going forward.</t>
  </si>
  <si>
    <t>Russian Oil Flows Surge in Sign US Sanctions Starting to Crumble</t>
  </si>
  <si>
    <t>https://www.google.com/url?sa=t&amp;rct=j&amp;q=&amp;esrc=s&amp;source=newssearch&amp;cd=&amp;cad=rja&amp;uact=8&amp;ved=2ahUKEwjX-LCzx5GMAxWazDgGHW6hLg04ChDF9AEoAHoECA4QAQ&amp;url=https%3A%2F%2Fwww.bloomberg.com%2Fnews%2Farticles%2F2025-03-11%2Frussia-s-oil-exports-surge-in-sign-us-sanctions-starting-to-crumble&amp;usg=AOvVaw3oVcIkt0gWjg2RpTNjxwGC&amp;opi=89978449</t>
  </si>
  <si>
    <t>The sentiment is not 'bearish' because an increase in Russian oil flows suggests a surge in global oil supply, which would actually put downward pressure on oil prices, making the sentiment 'bullish' instead.</t>
  </si>
  <si>
    <t>Surge in Canadian Crude Prices Signals Tariff Concern Is Waning</t>
  </si>
  <si>
    <t>https://www.google.com/url?sa=t&amp;rct=j&amp;q=&amp;esrc=s&amp;source=newssearch&amp;cd=&amp;cad=rja&amp;uact=8&amp;ved=2ahUKEwiEy_mTyJGMAxVXyDgGHTdlLGk4FBDF9AEoAHoECAkQAQ&amp;url=https%3A%2F%2Fwww.bloomberg.com%2Fnews%2Farticles%2F2025-03-10%2Fsurge-in-canadian-crude-prices-signals-tariff-concern-is-waning&amp;usg=AOvVaw25dDuTDFGClfqutSQgqPKR&amp;opi=89978449</t>
  </si>
  <si>
    <t>The sentiment is 'bullish' because a surge in Canadian crude prices suggests that the market is becoming less concerned about the impact of tariffs on oil demand, which could lead to increased oil exports and higher revenues for Canadian oil producers.</t>
  </si>
  <si>
    <t>Bybit Hack Prompts EU Scrutiny of OKX Platform Used by Thieves</t>
  </si>
  <si>
    <t>https://www.google.com/url?sa=t&amp;rct=j&amp;q=&amp;esrc=s&amp;source=newssearch&amp;cd=&amp;ved=2ahUKEwjt6PyRs5eMAxVoRmcHHcOiNrMQxfQBKAB6BAgJEAE&amp;url=https%3A%2F%2Fwww.bloomberg.com%2Fnews%2Farticles%2F2025-03-11%2Fbybit-crypto-hack-prompts-eu-scrutiny-of-okx-web3-wallet-platform&amp;usg=AOvVaw3gPBpEvdFD3mrWoEPZpi3z&amp;opi=89978449</t>
  </si>
  <si>
    <t>The sentiment is 'unrelated' because this headline is about a cryptocurrency exchange being hacked and the EU's scrutiny of a platform used by the hackers, which has no connection to the oil market, and therefore, is not relevant to my expertise as an oil market analyst.</t>
  </si>
  <si>
    <t>Oil Rises as OPEC+ Delays Output Hike and Iran Steps Up Rhetoric</t>
  </si>
  <si>
    <t>https://www.bloomberg.com/news/articles/2024-11-03/latest-oil-market-news-and-analysis-for-nov-4</t>
  </si>
  <si>
    <t>The sentiment is 'bullish' because the delayed output hike by OPEC+ and Iran's increased rhetoric suggest a tighter supply outlook, which is supportive of higher oil prices.</t>
  </si>
  <si>
    <t>Oil settles slightly up on weaker dollar, US economic fears cap gains - Reuters</t>
  </si>
  <si>
    <t>https://news.google.com/rss/articles/CBMiqgFBVV95cUxQX3hNYVVmbHVUWlkxRWFlcGRuNzZMbUwzbl9CVkFqbVF3RmlxaWpJNXJkNFVTdU9GOXhmalc2LURWeHNaeWlobTZIbkpiQ3hpR18tbmZNak9Zdm4zUTBKRk1DMmdab0RYN2tWNkFJbDhadzgtd1ZaWW5pZjdfdU40THdWQmJtNFhocFNZeWc2dkdDU0I3OEdrVFpiZjVrTkRnakFKU0prcHI0dw?oc=5</t>
  </si>
  <si>
    <t>The sentiment is 'unrelated' because the headline is purely factual, providing an update on the movement of oil prices without expressing a positive, negative, or neutral opinion, thus it does not convey a sentiment that can be classified as positive, negative, or neutral.</t>
  </si>
  <si>
    <t>Mercuria Hires Crude Traders From Totalâ€™s Trading Arm</t>
  </si>
  <si>
    <t>https://www.bloomberg.com/news/articles/2025-03-11/mercuria-hires-two-crude-traders-from-total-s-trading-arm</t>
  </si>
  <si>
    <t>The sentiment is 'unrelated' because the headline merely reports a personnel move in the oil trading industry, without conveying any positive, negative, or neutral sentiment about the companies involved or the market in general.</t>
  </si>
  <si>
    <t>Crude oil market share battle may be kicking off in Asia - Reuters</t>
  </si>
  <si>
    <t>https://news.google.com/rss/articles/CBMiuAFBVV95cUxOUUgwTVcwVk83RmtjSmpzWFdxOGNGZU5JdW9lWDdhVmJvMFVTOVVTbV9hYUE4czJWSWI3YjI2NXV1WDducUh4enhKaUpWUWo5T1IzTERYdHA3aFZGR2ZmcUdnUWk4NDJPUEpXTVA3LTBpUjFwdkNpUy0yWlhSY2N4QWlkMW5FMGdrcFpremF5SWQwVlBqR1d1Y3FUOEhlcWJ5TU9Fd0ltS1M4QjRZWWF6aHhzWnJoQnE1?oc=5</t>
  </si>
  <si>
    <t>The sentiment is 'neutral/uncertain' because the headline suggests a potential development in the crude oil market, but lacks a clear directional tone or emotive language, leaving the reader to interpret the implications of a market share battle in Asia.</t>
  </si>
  <si>
    <t>USD/NGN: Nigeria Nairaâ€™s Poise Disrupted by Oil Prices After Months of Stability</t>
  </si>
  <si>
    <t>https://www.google.com/url?sa=t&amp;rct=j&amp;q=&amp;esrc=s&amp;source=newssearch&amp;cd=&amp;cad=rja&amp;uact=8&amp;ved=2ahUKEwiEy_mTyJGMAxVXyDgGHTdlLGk4FBDF9AEoAHoECA0QAQ&amp;url=https%3A%2F%2Fwww.bloomberg.com%2Fnews%2Farticles%2F2025-03-10%2Fnaira-s-poise-disrupted-by-oil-prices-after-months-of-stability&amp;usg=AOvVaw27mVKSG_1e-jh0JtORZ373&amp;opi=89978449</t>
  </si>
  <si>
    <t>The sentiment is 'bearish' because the headline suggests that the stability of the Nigerian Naira is being threatened by oil price movements, implying a potential decline in the value of the Naira, which is a negative outlook.</t>
  </si>
  <si>
    <t>Trumpâ€™s energy chief says US shale can â€˜drill, baby, drillâ€™ at low oil price</t>
  </si>
  <si>
    <t>https://www.ft.com/content/6b7f0af8-6c59-44bb-b07a-43d4768b96fd</t>
  </si>
  <si>
    <t>The sentiment is 'bullish' because the headline suggests that the US shale industry can still thrive and increase production even at low oil prices, implying a potential increase in oil supply and a positive outlook for the industry.</t>
  </si>
  <si>
    <t>New Zealand Needs to Assess Risk Weights Used by Banks, ANZ Says</t>
  </si>
  <si>
    <t>The sentiment is 'unrelated' because the headline discusses banking and risk management in New Zealand, which has no direct connection to the oil market, making it an unrelated topic for an oil market analyst like myself.</t>
  </si>
  <si>
    <t>Oil settles down 1.5% as tariffs prompt fears of slow demand - Reuters</t>
  </si>
  <si>
    <t>https://news.google.com/rss/articles/CBMiswFBVV95cUxPVnlWU1Y5TXNfem9TYkNKOS1ENi1XczRZUGRoUFFhV0xxd1JJTzFKc3ZGeDlmZFFpdmx2TzV1RXAyQm50Yl9rUkN0V25qNWlpUHZlam1Ea1FXSWxiWnhCaGdOamhvaFVQanZFUHQzaTBnYk1Rdk9pX0JvX2tMa3VWa2pGTHZaZWtabm9CaXB1bjJJSUEtWVdKY0FyM2FoWUhVTWpZbExISFo2OV8tZXNjaXFmVQ?oc=5</t>
  </si>
  <si>
    <t>The sentiment is 'bearish' because the headline suggests that the oil market is responding negatively to trade tensions and tariffs, implying a potential decrease in demand, which is a fundamental bearish factor for oil prices.</t>
  </si>
  <si>
    <t>What the papers say â€“ March 10</t>
  </si>
  <si>
    <t>https://www.kilburntimes.co.uk/news/national/24993806.papers-say---march-10/</t>
  </si>
  <si>
    <t>The sentiment is 'unrelated' because the headline "What the papers say â€“ March 10" does not express a clear opinion or emotion about a specific topic, including oil markets, making it neutral and unrelated to any particular sentiment.</t>
  </si>
  <si>
    <t>Oil Falls as China Data Deepens Gloom and Risk-Off Takes Hold</t>
  </si>
  <si>
    <t>https://www.bloomberg.com/news/articles/2025-03-09/latest-oil-market-news-and-analysis-for-march-10</t>
  </si>
  <si>
    <t>The sentiment is 'bearish' because the headline suggests that weak economic data from China, a major oil consumer, is contributing to a broader risk-off sentiment in the market, which typically leads to lowered demand and prices for oil.</t>
  </si>
  <si>
    <t>Oil prices rebound on hopes of Opec+ U-turn on production</t>
  </si>
  <si>
    <t>https://www.ft.com/content/f2a3fc47-03ed-4f09-8700-2f7ba021a8ce</t>
  </si>
  <si>
    <t>The sentiment is 'bullish' because the headline suggests that Opec+ is considering reversing its previous decision to increase production, which would reduce supply and support oil prices, thereby boosting market optimism.</t>
  </si>
  <si>
    <t>Oilâ€™s Bearish Lurch Has Speculators Betting Worse Is Yet to Come - Bloomberg.com</t>
  </si>
  <si>
    <t>https://news.google.com/rss/articles/CBMitgFBVV95cUxOQWlLanQwNk1lZ2FhT19Kb3RodHoxRWpuT0RsZkYyQ0cyOXI3elBqaXFhTHdVS2hzZ3RnV1BBbVpsbEMxN3Axa19pclhTSk1jU2dxU1o2V3lmYTRCTVYtNWVLdVZOMlBRQkM5UWhXbTFURkZUalhRN0ZocF9rVXFrWlBxcWNHZ29nRUYyVXpjRnFUTy1YN3dvOXA0VG4yRGR3TFd3Vk9fbXFkcGpJS0ptYU1tV2s5QQ?oc=5</t>
  </si>
  <si>
    <t>The sentiment is 'bearish' because the headline suggests that speculators are expecting further downside in the oil market, implying that they believe the current decline is not yet over and that prices may continue to fall.</t>
  </si>
  <si>
    <t>Trump Team Weighs Ending Oil Price Cap If Russia Talks Progress</t>
  </si>
  <si>
    <t>https://www.google.com/url?sa=t&amp;rct=j&amp;q=&amp;esrc=s&amp;source=newssearch&amp;cd=&amp;cad=rja&amp;uact=8&amp;ved=2ahUKEwiEy_mTyJGMAxVXyDgGHTdlLGk4FBDF9AEoAHoECBEQAQ&amp;url=https%3A%2F%2Fwww.bloomberg.com%2Fnews%2Farticles%2F2025-03-07%2Ftrump-team-weighs-ending-oil-price-cap-if-russia-talks-progress&amp;usg=AOvVaw0J_PuU9Y1ULl3A-eisaFbB&amp;opi=89978449</t>
  </si>
  <si>
    <t>The sentiment is 'bullish' because the potential removal of the oil price cap could lead to higher prices if Russia is allowed to produce and export more oil, benefiting oil producers and bullish market participants.</t>
  </si>
  <si>
    <t>Oilâ€™s Bearish Lurch Has Speculators Betting Worse Is Yet to Come</t>
  </si>
  <si>
    <t>https://www.google.com/url?sa=t&amp;rct=j&amp;q=&amp;esrc=s&amp;source=newssearch&amp;cd=&amp;cad=rja&amp;uact=8&amp;ved=2ahUKEwiEy_mTyJGMAxVXyDgGHTdlLGk4FBDF9AEoAHoECBIQAQ&amp;url=https%3A%2F%2Fwww.bloomberg.com%2Fnews%2Farticles%2F2025-03-08%2Foil-s-bearish-lurch-has-speculators-betting-worse-is-yet-to-come&amp;usg=AOvVaw14FAT1HD9LSaQyhnh0WD03&amp;opi=89978449</t>
  </si>
  <si>
    <t>The sentiment is 'bearish' because the headline suggests that speculators are expecting further price declines, implying a pessimistic outlook on the oil market, which aligns with the definition of a bearish sentiment.</t>
  </si>
  <si>
    <t>Oil price tumbles to three-year low on fears trade war will hit demand</t>
  </si>
  <si>
    <t>https://www.ft.com/content/741a9c46-3387-480e-bd7e-53ec07f73b48</t>
  </si>
  <si>
    <t>The sentiment is 'bearish' because the headline suggests that oil prices are falling due to fears of decreased demand, implying a negative outlook for the oil market.</t>
  </si>
  <si>
    <t>Oil up, but off highs as Trump warns new Russia sanctions possible</t>
  </si>
  <si>
    <t>https://www.reuters.com/business/energy/oil-set-biggest-weekly-drop-since-october-tariff-uncertainty-supply-gains-2025-03-07/</t>
  </si>
  <si>
    <t>The sentiment is 'bearish' because the threat of new Russia sanctions, which could lead to increased oil supply from a major producer, has tempered the market's optimism, capping the upward momentum in oil prices.</t>
  </si>
  <si>
    <t>Oil steadies in choppy trading on tariff uncertainty, OPEC+ hike plans</t>
  </si>
  <si>
    <t>https://www.reuters.com/business/energy/oil-steadies-after-multi-day-plunge-traders-wary-tariff-supply-impacts-2025-03-06/</t>
  </si>
  <si>
    <t>The sentiment is 'neutral/uncertain' because the headline suggests that oil prices are stabilizing despite conflicting influences, with the threat of tariffs potentially weighing on demand offset by the prospect of production increases from OPEC+, leaving the market in a state of flux.</t>
  </si>
  <si>
    <t>Nigerian Bonds Sink the Most in Four Months on Lower Oil Prices</t>
  </si>
  <si>
    <t>https://www.google.com/url?sa=t&amp;rct=j&amp;q=&amp;esrc=s&amp;source=newssearch&amp;cd=&amp;cad=rja&amp;uact=8&amp;ved=2ahUKEwiEy_mTyJGMAxVXyDgGHTdlLGk4FBDF9AEoAHoECA8QAQ&amp;url=https%3A%2F%2Fwww.bloomberg.com%2Fnews%2Farticles%2F2025-03-06%2Fnigerian-bonds-sink-the-most-in-four-months-on-lower-oil-prices&amp;usg=AOvVaw0wvVQxXCd5LpGkhlhjaftB&amp;opi=89978449</t>
  </si>
  <si>
    <t>The sentiment is 'bearish' because lower oil prices typically lead to reduced government revenue in oil-exporting countries like Nigeria, which can negatively impact their bond market and overall economy.</t>
  </si>
  <si>
    <t>Ecuadorâ€™s Noboa Orders Early Fee Payment for Major Oil Deal</t>
  </si>
  <si>
    <t>https://www.google.com/url?sa=t&amp;rct=j&amp;q=&amp;esrc=s&amp;source=newssearch&amp;cd=&amp;cad=rja&amp;uact=8&amp;ved=2ahUKEwiEy_mTyJGMAxVXyDgGHTdlLGk4FBDF9AEoAHoECAoQAQ&amp;url=https%3A%2F%2Fwww.bloomberg.com%2Fnews%2Farticles%2F2025-03-06%2Fecuador-s-noboa-orders-early-fee-payment-for-major-oil-deal&amp;usg=AOvVaw0KIVQyfaSB1EzT_m02XQXD&amp;opi=89978449</t>
  </si>
  <si>
    <t>The sentiment is 'bullish' because the early payment of fees suggests confidence in the deal's prospects and potentially signals a significant increase in oil production or revenue for Ecuador, which could have a positive impact on the country's economy and the oil market as a whole.</t>
  </si>
  <si>
    <t>Oil Set for Biggest Weekly Loss Since October on Tariff Turmoil - Bloomberg.com</t>
  </si>
  <si>
    <t>https://news.google.com/rss/articles/CBMinwFBVV95cUxQakQ5QS01Z3hRcVAwZV9BYnozYXQ5RHZIVHd0SDM4NUVWRHBod0Q3OEFhRzh6MU1Edm13WHNLU3YtUWVxMGE2VWtHUGV6b1hkTVAwanhMYS1FUmtCdlRqQzkyQWVWZTZmV2Rwbm5BelNpNExZVlFTQ0dGbVZNeGdnYWoyMVo3OUhNc2RacTU3ajFicWNGb2tORG50SWd6UkU?oc=5</t>
  </si>
  <si>
    <t>The sentiment is 'bearish' because the headline explicitly states that oil is experiencing its biggest weekly loss since October, implying a significant downward price movement, which is typically associated with a bearish market sentiment.</t>
  </si>
  <si>
    <t>Aramco Cuts Oil Prices to Asia as OPEC+ Eases Production Curbs</t>
  </si>
  <si>
    <t>https://www.google.com/url?sa=t&amp;rct=j&amp;q=&amp;esrc=s&amp;source=newssearch&amp;cd=&amp;cad=rja&amp;uact=8&amp;ved=2ahUKEwiEy_mTyJGMAxVXyDgGHTdlLGk4FBDF9AEoAHoECBMQAQ&amp;url=https%3A%2F%2Fwww.bloomberg.com%2Fnews%2Farticles%2F2025-03-07%2Faramco-cuts-oil-prices-to-asia-as-opec-eases-production-curbs&amp;usg=AOvVaw0Tnp3ZsWImr48R5dCRHa2e&amp;opi=89978449</t>
  </si>
  <si>
    <t>The sentiment is 'bearish' because the headline suggests that Aramco is cutting oil prices to Asia, implying a surplus of supply and reduced demand, which could lead to downward pressure on oil prices, a bearish signal for the market.</t>
  </si>
  <si>
    <t>Oil up, but off highs as Trump warns new Russia sanctions possible - Reuters</t>
  </si>
  <si>
    <t>https://news.google.com/rss/articles/CBMiwwFBVV95cUxOR01UY0VKU3lubjZMVldkMHZmOFlhQktOQllEN0daMS0xYlFOYnFWTHFKeHRXYk1XYlhtYjUxdElObWFMNTZUc2lOa09fRm4zSklNeGQ4MS1GbFlvRW5wb3pVc3o5aVFVdlRRS2xJWkdZQUxUa1VVQUkzQlBDaVdNNk4xWEVoclJOb0Y1U0hFcnNZMTZpT3ZrX0NDS1lnc3N0YmhSYVpHQmRVWXlkUVh0LTZDNnVvMFR3YnZBSU5Dby1rUnM?oc=5</t>
  </si>
  <si>
    <t>The sentiment is 'bearish' because the possibility of new Russia sanctions could lead to increased uncertainty and potentially disrupt global oil supplies, which could put downward pressure on oil prices.</t>
  </si>
  <si>
    <t>Russia Says Crude Output Was Flat in February, Below OPEC+ Quota</t>
  </si>
  <si>
    <t>https://www.bloomberg.com/news/articles/2025-03-06/russia-says-crude-output-was-flat-in-february-below-opec-quota</t>
  </si>
  <si>
    <t>The sentiment is not 'bullish' because a flat crude output in February below the OPEC+ quota suggests that Russia is not increasing production to meet rising demand, which could lead to tighter supply and higher prices, whereas a bullish sentiment would typically imply increased production and potentially lower prices.</t>
  </si>
  <si>
    <t>Plunge in 2026 Oil Prices Offers Hope to Beleaguered Bulls - Bloomberg.com</t>
  </si>
  <si>
    <t>https://news.google.com/rss/articles/CBMirgFBVV95cUxNdVBCYl9JSUEta2hCdk1VMDBHT0QtaWtaVU42c1dSVjcxQk9zeVN3VGpEdC1TWnU0RFprQTRFdktMbFY0UF83dHlZOHh2TnVNVEJSaTNMVnFBVFJHQVhnZWg3Z1VTMlNEVlBqaHhxREVONURoRFBJQWVpMExwVVRHYlN1ZjlJV2hwN21NZ2N3TG4wX1VHTXJUTU5PejZRdldOR3IwZ1FYZ0gyUWt4aXc?oc=5</t>
  </si>
  <si>
    <t>The sentiment is 'bullish' because a plunge in oil prices could signal a bottoming out of the market, potentially leading to a rebound and creating opportunities for bulls to take advantage of lower prices and profit from a subsequent price increase.</t>
  </si>
  <si>
    <t>Plunge in 2026 Oil Prices Offers Hope to Beleaguered Bulls</t>
  </si>
  <si>
    <t>https://www.google.com/url?sa=t&amp;rct=j&amp;q=&amp;esrc=s&amp;source=newssearch&amp;cd=&amp;cad=rja&amp;uact=8&amp;ved=2ahUKEwiEy_mTyJGMAxVXyDgGHTdlLGk4FBDF9AEoAHoECAgQAQ&amp;url=https%3A%2F%2Fwww.bloomberg.com%2Fnews%2Farticles%2F2025-03-06%2Fplunge-in-2026-oil-prices-offers-hope-to-beleaguered-bulls&amp;usg=AOvVaw0MAuQzcc4lF63r2LkAadZw&amp;opi=89978449</t>
  </si>
  <si>
    <t>The sentiment is 'bullish' because a plunge in oil prices in 2026 offers relief to consumers and businesses, which could lead to increased demand and ultimately benefit oil producers and investors, also known as "beleaguered bulls", in the long run.</t>
  </si>
  <si>
    <t>Oil steadies in choppy trading on tariff uncertainty, OPEC+ hike plans - Reuters</t>
  </si>
  <si>
    <t>https://news.google.com/rss/articles/CBMivwFBVV95cUxPUnQ1a3RnRUhGaS01X3dsRlBXbXItUkhHeXM1WVVVQWV4bUp2R05MaDd4LTRqX3hsZGp5WDkwR2RsdGNVWUE3amZMOWp6YTV1Vk10SE4yZlZmUDFCU3EzNy1yem1Wck83NXJ5cFdkeGFGdXpfVlJXX3IyVHFja3dEenltcXViY0R2d051TElrSlJtMkNBTnR5VDl6akJzb2dOb0xwYUIwRnNTalVHV2o0MDV0bTJRVVhfd3N6RkNvbw?oc=5</t>
  </si>
  <si>
    <t>The sentiment is 'unrelated' because the headline merely reports on the current state of the oil market, without expressing a clear positive, negative, or neutral opinion about the situation, focusing instead on providing factual information about market fluctuations and the influencing factors.</t>
  </si>
  <si>
    <t>Australiaâ€™s Economic Inequality Highest in Over 20 Years</t>
  </si>
  <si>
    <t>https://www.bloomberg.com/news/newsletters/2025-03-05/australia-s-economic-inequality-highest-in-over-20-years</t>
  </si>
  <si>
    <t>The sentiment is 'bearish' because rising economic inequality can lead to reduced consumer spending, lower economic growth, and increased uncertainty, all of which can negatively impact oil demand and prices.</t>
  </si>
  <si>
    <t>US Refiners Are Placing Fewer Orders for Mexican Crude Oil</t>
  </si>
  <si>
    <t>https://www.bloomberg.com/news/articles/2025-03-05/us-refiners-are-placing-fewer-orders-for-mexican-crude-oil</t>
  </si>
  <si>
    <t>The sentiment is 'bearish' because a decrease in orders for Mexican crude oil from US refiners suggests reduced demand, which can lead to a surplus of crude oil in the market, putting downward pressure on prices.</t>
  </si>
  <si>
    <t>Big Tech Unleashes on Australia Social Ban</t>
  </si>
  <si>
    <t>https://www.bloomberg.com/news/newsletters/2025-03-04/social-media-ban-port-of-darwin-cyclone-australia-briefing</t>
  </si>
  <si>
    <t>The sentiment is 'unrelated' because as an oil market analyst, the headline "Big Tech Unleashes on Australia Social Ban" appears to be discussing a topic (tech industry and social media regulation in Australia) that is unrelated to the oil market, and therefore does not have any apparent connection or impact on the oil market analysis.</t>
  </si>
  <si>
    <t>Oil Extends Decline as Signs of Tariff Relief Spark Uncertainty</t>
  </si>
  <si>
    <t>https://www.bloomberg.com/news/articles/2025-03-04/latest-oil-market-news-and-analysis-for-march-5</t>
  </si>
  <si>
    <t>The sentiment is 'bearish' because the uncertainty sparked by signs of tariff relief suggests that the market is skeptical about the potential benefits of a trade deal, leading to a lack of confidence in oil prices and a subsequent decline.</t>
  </si>
  <si>
    <t>Oil settles down more than 2% after US crude stocks build, OPEC+ hike, US tariffs - Reuters</t>
  </si>
  <si>
    <t>https://news.google.com/rss/articles/CBMiuAFBVV95cUxPM0dzcjBNOTkzTS1EMzNDeHlpV0V4TVVjT2FuQnlqQmVxX2Vodkh5VWd1SE1DUElxWkZ1QVNkVUR0SlNadEozMzN0REtQMmhUV1g5Um53VjdtZlZHZnQySHBEX090bXZzd040TnlXVVd1QjVYcVcwQ2ZaUnZrWUs1SEw5bFJHQ0V6TkJXM0lIQVctVUxINEdweHM3U0tBbm5jNUtoeDU0MGpXMEg2VVBGNlF2RG1NaWpN?oc=5</t>
  </si>
  <si>
    <t>The sentiment is 'bearish' because the combination of a surprise build in US crude stocks, a production hike from OPEC+, and newly imposed US tariffs all point to increased oil supply and decreased demand, which would put downward pressure on oil prices.</t>
  </si>
  <si>
    <t>Saudi Aramco Weighs Bid for BPâ€™s Castrol Lubricant Assets</t>
  </si>
  <si>
    <t>https://www.google.com/url?sa=t&amp;rct=j&amp;q=&amp;esrc=s&amp;source=newssearch&amp;cd=&amp;cad=rja&amp;uact=8&amp;ved=2ahUKEwi-_9WKyZGMAxXWi68BHUZeAIg4HhDF9AEoAHoECAgQAQ&amp;url=https%3A%2F%2Fwww.bloomberg.com%2Fnews%2Farticles%2F2025-03-05%2Fsaudi-aramco-said-to-mull-bid-for-bp-s-castrol-lubricant-assets&amp;usg=AOvVaw3v1AIVqBHpm0SYPKRTaoSv&amp;opi=89978449</t>
  </si>
  <si>
    <t>The sentiment is 'bullish' because a potential acquisition of Castrol lubricant assets by Saudi Aramco would signal a strategic expansion into the downstream sector, diversifying its revenue streams and increasing its presence in the global lubricants market.</t>
  </si>
  <si>
    <t>Oil settles down more than 2% after US crude stocks build, OPEC+ hike, US tariffs</t>
  </si>
  <si>
    <t>https://www.reuters.com/markets/commodities/oil-falls-opec-plans-raise-output-us-tariffs-hammer-sentiment-2025-03-05/</t>
  </si>
  <si>
    <t>The sentiment is 'bearish' because the headline suggests a decline in oil prices due to a combination of factors, including an unexpected build in US crude stocks, OPEC+'s decision to increase production, and the imposition of US tariffs, all of which are likely to lead to a surplus in the oil market and downward pressure on prices.</t>
  </si>
  <si>
    <t>Middle East Oil Prices Plunge as Rising OPEC+ Supplies Rattle Market</t>
  </si>
  <si>
    <t>https://www.bloomberg.com/news/articles/2025-03-05/middle-east-oil-plunges-as-rising-opec-supplies-rattle-market?srnd=energy</t>
  </si>
  <si>
    <t>The sentiment is 'bearish' because the headline suggests that an increase in OPEC+ supplies is causing a decline in oil prices, implying a surplus of oil in the market that could lead to further downward pressure on prices.</t>
  </si>
  <si>
    <t>Oil Extends Decline as Signs of Tariff Relief Spark Uncertainty - Bloomberg.com</t>
  </si>
  <si>
    <t>https://news.google.com/rss/articles/CBMinwFBVV95cUxNWTJocXVRNmNFTVpGXzFmcDlhdW5abWtpMS1tTTE5dkg1REZ6aWVxdmprbXNJRUoxemVqTnJ5enM5R1FlOXE3S3hXVVFWUEVnRjdMNHpkdTRNdDdkMEhJXy1kMjVISzFzeXBIeWc0UFJxZk93ck8tVEphd2o4aGNYYnBoRktob2RxWEZHbXdjTVo2NS1BOGh2MEFybm1FMk0?oc=5</t>
  </si>
  <si>
    <t>The sentiment is 'bearish' because the mention of "tariff relief" sparking "uncertainty" suggests that the decline in oil prices may be driven by concerns that easing trade tensions could lead to increased global supply and reduced demand, thus exerting downward pressure on prices.</t>
  </si>
  <si>
    <t>Oil Outlook Clouded by OPEC+ Output, Trade Tariff Risks</t>
  </si>
  <si>
    <t>https://www.wsj.com/business/energy-oil/oil-outlook-clouded-by-opec-output-trade-tariff-risks-f5b64430</t>
  </si>
  <si>
    <t>The sentiment is 'bearish' because the headline suggests that OPEC+ output and trade tariff risks are likely to weigh on oil prices, implying a downward pressure on the market.</t>
  </si>
  <si>
    <t>Saudi Aramco chief says DeepSeek AI makes â€˜big differenceâ€™ to operations</t>
  </si>
  <si>
    <t>https://www.ft.com/content/0d24dcf4-b53b-48e5-b49c-99606958a96d</t>
  </si>
  <si>
    <t>The sentiment is 'bullish' because the quote from the Saudi Aramco chief suggests that the implementation of DeepSeek AI has had a significant and positive impact on the company's operations, implying improved efficiency and potentially higher profitability.</t>
  </si>
  <si>
    <t>Russiaâ€™s Oil Flows by Sea Surge But Cargoes Sit Undelivered - Bloomberg.com</t>
  </si>
  <si>
    <t>https://news.google.com/rss/articles/CBMisgFBVV95cUxQekswOW5rSUR1WEpkZW5fa3BaNWxzdnhEdnNQbHlqbndoWl9KWUdBUGVTQnRhMWRfUk5zV29zemtVMlFfY2l4emFaNnc5RUl2X2JnMC1SVWxpVmR3T1paNnJWWU1CTG9mZ3MxT2dkNnJxOWQ1Uk1qakpEeGtJWk5RUFhYV0J4OWZ4VHdUU3BRMXlYb0VSSmpRMU11TFo0Q1J3RzZDQlBMNWNJSUVobmhmYmNn?oc=5</t>
  </si>
  <si>
    <t>The sentiment is 'bearish' because the headline suggests that despite an increase in Russia's oil flows by sea, the cargoes are not being delivered, implying a buildup of unsold inventories that could lead to downward pressure on oil prices.</t>
  </si>
  <si>
    <t>Australiaâ€™s Top Banker Expects Slower, Shallower Rate-Cut Cycle</t>
  </si>
  <si>
    <t>https://www.bloomberg.com/news/articles/2025-03-04/australia-s-top-banker-expects-slower-shallower-rate-cut-cycle</t>
  </si>
  <si>
    <t>The sentiment is not 'bullish' because a slower and shallower rate-cut cycle implies less monetary easing, which is typically associated with a more cautious economic outlook and potentially weaker demand for risk assets, including commodities like oil.</t>
  </si>
  <si>
    <t>OPEC+ to Begin Long-Delayed Supply Hike Amid Trump Pressure</t>
  </si>
  <si>
    <t>https://www.google.com/url?sa=t&amp;rct=j&amp;q=&amp;esrc=s&amp;source=newssearch&amp;cd=&amp;cad=rja&amp;uact=8&amp;ved=2ahUKEwi-_9WKyZGMAxXWi68BHUZeAIg4HhDF9AEoAHoECBIQAQ&amp;url=https%3A%2F%2Fwww.bloomberg.com%2Fnews%2Farticles%2F2025-03-03%2Fopec-to-begin-long-delayed-supply-restart-amid-trump-pressure&amp;usg=AOvVaw2H5yOp2w7RRJQZiCRt0R4z&amp;opi=89978449</t>
  </si>
  <si>
    <t>The sentiment is 'bullish' because the announcement of an OPEC+ supply hike, despite being long-delayed, indicates that the cartel is finally responding to market demands and alleviating concerns of undersupply, which could lead to lower prices and improved market sentiment.</t>
  </si>
  <si>
    <t>The â€˜Oil Grand Bargainâ€™ Isnâ€™t Mere Fantasy</t>
  </si>
  <si>
    <t>https://www.google.com/url?sa=t&amp;rct=j&amp;q=&amp;esrc=s&amp;source=newssearch&amp;cd=&amp;cad=rja&amp;uact=8&amp;ved=2ahUKEwi-_9WKyZGMAxXWi68BHUZeAIg4HhDF9AEoAHoECAsQAQ&amp;url=https%3A%2F%2Fwww.bloomberg.com%2Fopinion%2Farticles%2F2025-03-04%2Fthe-oil-grand-bargain-isn-t-mere-fantasy%3Fsrnd%3Dphx-opinion&amp;usg=AOvVaw3tXrqRyM--ZCzsAuErZqdy&amp;opi=89978449</t>
  </si>
  <si>
    <t>The sentiment is 'bullish' because the term "Grand Bargain" typically implies a comprehensive and mutually beneficial agreement that could lead to increased cooperation and stability in the oil market, which would be a positive development for oil prices and the industry as a whole.</t>
  </si>
  <si>
    <t>Oil prices fall after Opec+ confirms crude production increase</t>
  </si>
  <si>
    <t>https://www.ft.com/content/d10a6888-f917-46cf-834b-20f67a5c60c3</t>
  </si>
  <si>
    <t>The sentiment is 'bearish' because an increase in crude production typically leads to an oversupply in the market, which puts downward pressure on oil prices, making the news unfavorable for oil producers and bullish for consumers.</t>
  </si>
  <si>
    <t>Oil Holds Losses Near Three-Month Low After OPEC+ Signals Hike - Bloomberg.com</t>
  </si>
  <si>
    <t>https://news.google.com/rss/articles/CBMinwFBVV95cUxNQ0huUy1PVWtMaXpNNHA0ZWttTGEzRXI5akhpM252bFVxakNtUzcxaVRINVA1NU9ydXp5WjNCS1ZvZ3d6a3VOaTYzZW1BZjNwbTJTeGVjS3FMZXNya0FmSGc3SFFqWFgwWmUyYUxmdHluRGxNMG1hTy03T3RRMGZHXzZMcFczR0E1bVF1aUxGWFZ3RFZUQXhKTHRtakJoQWc?oc=5</t>
  </si>
  <si>
    <t>The sentiment is 'bearish' because the headline suggests that oil prices are holding near a three-month low, indicating a downward trend, and OPEC+ signaling a hike in production could further exacerbate the downward pressure on prices.</t>
  </si>
  <si>
    <t>Tariffs Add to Pressure on Oil Prices</t>
  </si>
  <si>
    <t>https://www.wsj.com/livecoverage/trump-tariffs-canada-mexico-china-stock-market-today-03-04-2025/card/tariffs-add-to-pressure-on-oil-prices-qWIhdVBKJxy8VaSReYqI</t>
  </si>
  <si>
    <t>The sentiment is 'bearish' because the imposition of tariffs is likely to reduce global trade and economic growth, leading to decreased demand for oil and thus putting downward pressure on oil prices.</t>
  </si>
  <si>
    <t>Goldman sees downside risks to 2025-2026 Brent forecasts amid OPEC+ output increase</t>
  </si>
  <si>
    <t>https://www.reuters.com/business/energy/goldman-sees-downside-risk-oil-price-forecasts-20252026-2025-03-04/</t>
  </si>
  <si>
    <t>The sentiment is 'bearish' because an increase in OPEC+ output could lead to a surplus in the global oil market, putting downward pressure on Brent prices, which would align with Goldman's assessment of downside risks to their forecasts.</t>
  </si>
  <si>
    <t>Brent settles down, hit 6-month low on OPEC+ output rise, tariffs, Ukraine news</t>
  </si>
  <si>
    <t>https://www.reuters.com/markets/commodities/oil-prices-slide-ukraine-aid-pause-tariffs-opec-output-increase-2025-03-04/</t>
  </si>
  <si>
    <t>The sentiment is 'bearish' because the headline suggests that the price of Brent crude oil is declining due to a combination of bearish factors, including the expected increase in OPEC+ output, tariffs, and escalating Ukraine tensions, which are all likely to lead to a surplus in oil supply and downward pressure on prices.</t>
  </si>
  <si>
    <t>Russiaâ€™s Oil Flows by Sea Surge But Cargoes Sit Undelivered</t>
  </si>
  <si>
    <t>https://www.bloomberg.com/news/articles/2025-03-04/russia-s-oil-exports-by-sea-surge-but-cargoes-sit-undelivered</t>
  </si>
  <si>
    <t>The sentiment is 'bearish' because the headline suggests that while oil production and export volumes may be increasing, the fact that cargoes are sitting undelivered implies a demand-side issue, which could lead to a build-up in inventories and downward pressure on oil prices.</t>
  </si>
  <si>
    <t>Oil prices fall 2% to 12-week low with OPEC+ set to increase output - Reuters</t>
  </si>
  <si>
    <t>https://news.google.com/rss/articles/CBMivwFBVV95cUxPLThvV2JTcmNXRE9CYl9qckRlVlZLUU1Qby1jUW5QUHo3T1hoQlpvN2piVUVQX1ZoTjR0VlJ4T2Q2TW5ibi1YczV0T1RreHd3eDBQNTBUUmRhQU1xcUpYSE1WV3JrcFh0WS1hSW9hT0ZzMFFqYVRqWExmOUJxT0NFdEhVeXc0UmNkX1NXclpEaHcyMjgwbHlaRFlFcHJUZkFPNUxMaWFQZXRFNFF4RXFRUHhIT1pVQ05FaHJSMU5kZw?oc=5</t>
  </si>
  <si>
    <t>The sentiment is 'bearish' because the headline suggests that oil prices are falling to a 12-week low, implying a downward pressure on prices, and the expected increase in output from OPEC+ is likely to further exacerbate the downward trend.</t>
  </si>
  <si>
    <t>The â€˜Oil Grand Bargainâ€™ Isnâ€™t Mere Fantasy - Bloomberg.com</t>
  </si>
  <si>
    <t>https://news.google.com/rss/articles/CBMimgFBVV95cUxQbDVVbldhOVlkb3pBQzY4NmNla1BoMDJRVVZlZmNvOHVXQ21YREtlQlFRNE5IWGdxVURBbVd0bmdZOWFma29qblFjb09ycjBEZjBZVzY1eThLaHVSNGF0UFdHVXVyckprQWxTZzVPVk1yTTRsX2pjdjN4amtkWjQwMHNpOVIwaHpNbU5OUFlERm9VU2Y1Umg1TGdn?oc=5</t>
  </si>
  <si>
    <t>The sentiment is 'bullish' because the phrase "Grand Bargain" implies a comprehensive and beneficial agreement among major oil-producing nations, which could lead to increased cooperation, stabilized prices, and a more optimistic outlook for the oil market.</t>
  </si>
  <si>
    <t>Oil prices fall 2% to 12-week low with OPEC+ set to increase output</t>
  </si>
  <si>
    <t>https://www.reuters.com/business/energy/oil-recovers-upbeat-chinese-manufacturing-data-increases-some-optimism-2025-03-03/</t>
  </si>
  <si>
    <t>The sentiment is 'bearish' because a decline in oil prices to a 12-week low, coupled with the expectation of increased output from OPEC+, suggests a surplus of supply in the market, which is typically a negative indicator for oil prices.</t>
  </si>
  <si>
    <t>Trumpâ€™s Barrage of Executive Orders Overwhelms Opponents</t>
  </si>
  <si>
    <t>https://www.wsj.com/politics/elections/all-gas-executive-orders-put-trumps-opponents-on-back-foot-ddae594b</t>
  </si>
  <si>
    <t>The sentiment is not 'bullish' because a headline about Trump's executive orders overwhelming his opponents is more indicative of a political power play rather than a specific economic or market-related development that would directly impact oil markets, making it unclear how this would be bullish for oil prices.</t>
  </si>
  <si>
    <t>Oil Drops as Trumpâ€™s Tariff Threats Unsettle Global Investors - Bloomberg.com</t>
  </si>
  <si>
    <t>https://news.google.com/rss/articles/CBMipAFBVV95cUxNdDRnQW9wMTZ4Z0dZTkwtSXpJbFh6VTlya0tDZVpjV2lqYm1ZS01iQllfRUdJLUlvMkRGUFAtaXQ3Rld1TzVWTjVGSWV5OWQ5NDVYbVEtY2NiX0g3cm9ydXdTTWFwMlc5TXRBVkUyc1oxU0ZzQlhiNkdNS18wSDVDLVh5UEtvSWZCT3Z3dmhkN2x3WVllR2E0WFo5bmc0TWUySXZFVw?oc=5</t>
  </si>
  <si>
    <t>The sentiment is 'bearish' because Trump's tariff threats are likely to lead to a decrease in global trade and economic growth, which would in turn reduce oil demand and put downward pressure on oil prices.</t>
  </si>
  <si>
    <t>Oil falls on White House spat, tariffs, Iraq exports - Reuters</t>
  </si>
  <si>
    <t>https://news.google.com/rss/articles/CBMiwAFBVV95cUxORVZSMVozcFIwRXdLdWVvZWRBblRKYldOOVdvYVEtQ3gzVElFSUlvcUFCSnNmNW5iOVcyTFlOUUsyUWt1NmFEWU81OFlXYWx5aHRiUG5uNVYtdnY5NzRMRlJRZWJ2TUhzQUZaTGhhVnprWUFsa21JVjFodkdlMHA0SG54dl8wbDhpRGE4LXU0ZWJrLVpBcFV2RkUyRmVaSF9seVdHb2hhQkgzTGdRc1lJWEF4Qk5nMGVpVWwxU1RzX3o?oc=5</t>
  </si>
  <si>
    <t>The sentiment is 'bearish' because the headline mentions a combination of negative factors, including a White House spat, tariffs, and increased Iraqi exports, which suggest downward pressure on oil prices.</t>
  </si>
  <si>
    <t>Oil falls on White House spat, tariffs, Iraq exports</t>
  </si>
  <si>
    <t>https://www.reuters.com/business/energy/oil-heads-first-monthly-drop-since-november-economic-uncertainty-weighs-2025-02-28/</t>
  </si>
  <si>
    <t>The sentiment is 'bearish' because the headline suggests that oil prices are falling due to a combination of negative factors, including a White House spat, tariffs, and increased exports from Iraq, which could lead to a supply surplus and downward pressure on prices.</t>
  </si>
  <si>
    <t>Star Entertainment Share Trading Pause Stokes Viability Concerns</t>
  </si>
  <si>
    <t>https://www.bloomberg.com/news/articles/2025-02-27/star-entertainment-share-trading-pause-stokes-viability-concerns</t>
  </si>
  <si>
    <t>The sentiment is 'unrelated' because the headline is discussing a pause in share trading for a specific entertainment company, Star Entertainment, and has no apparent connection to the oil market, making it an unrelated news item from the perspective of an oil market analyst.</t>
  </si>
  <si>
    <t>Asia's falling crude oil imports challenge 2025 demand forecasts - Reuters</t>
  </si>
  <si>
    <t>https://news.google.com/rss/articles/CBMivwFBVV95cUxQdVkxUGZtb1FoaVJPTlotZWU3OGVlT1hZa2tFNTBwRVF3VlExQ2g2aHFUcHdKaGlZVnBIOTFsNkpDMFE0XzgwYzFTZ1FBS3dvN1BMNHB2T3FPNjdtaFQxMUpzVVN3dHA2UDhseEl0NWkxQTBMaEpLM2pLanNDaF9PRkhXbmprRnZWWHlsbF8tZmFIZ2RYcWRKcXRNNnE4bXFlVkdzLUFRemkxNzR6ZERSOHYzWGprM0E3THQ1N3NhTQ?oc=5</t>
  </si>
  <si>
    <t>The sentiment is 'bearish' because a decline in crude oil imports in Asia, a region that accounts for a significant share of global oil demand, suggests that the demand growth forecast for 2025 may be overly optimistic, implying a potential surplus of oil in the market.</t>
  </si>
  <si>
    <t>Trump Reverses Course on Venezuela, Revoking Chevron Oil License - WSJ</t>
  </si>
  <si>
    <t>https://news.google.com/rss/articles/CBMiqgFBVV95cUxPd0FpNHctTmlUa2J4bWZtcnFDSUVmcjFLNGR3ai1ncHFrYmtZaklXNF9tczdjWGxCR2hYSVoybnRpanM2ZkdRMk5tSnlYcVBGTENWeGg0SW9SQ1NvMXcyaktVYXVNeWZ3YnEtb3BERGZMSGY5RGJ3Y1Y3ODVrS3JOMW5pRHgzTWNuUlpIVU9LZ0ZFNEFVaHpZVjRfNFJQaXhQVEFSdGRKMnpqUQ?oc=5</t>
  </si>
  <si>
    <t>The sentiment is 'bullish' because the revocation of Chevron's oil license in Venezuela could lead to increased oil production and exports from the US, potentially reducing global oil supply concerns and supporting oil prices.</t>
  </si>
  <si>
    <t>Eni Profit Falls on Weaker Oil Price, Lower Refining Margins</t>
  </si>
  <si>
    <t>https://www.google.com/url?sa=t&amp;rct=j&amp;q=&amp;esrc=s&amp;source=newssearch&amp;cd=&amp;cad=rja&amp;uact=8&amp;ved=2ahUKEwi-_9WKyZGMAxXWi68BHUZeAIg4HhDF9AEoAHoECBEQAQ&amp;url=https%3A%2F%2Fwww.bloomberg.com%2Fnews%2Farticles%2F2025-02-27%2Feni-profit-falls-on-weaker-oil-price-lower-refining-margins&amp;usg=AOvVaw0LhhXoW4N18-MCuELULgX1&amp;opi=89978449</t>
  </si>
  <si>
    <t>The sentiment is 'bearish' because the decline in Eni's profit stems from weaker oil prices and lower refining margins, which are both indicators of a challenging market environment that may persist and negatively impact the company's future performance.</t>
  </si>
  <si>
    <t>Oil climbs more than 2% after Trump cancels Chevron's Venezuela licence</t>
  </si>
  <si>
    <t>https://www.reuters.com/business/energy/oil-prices-climb-2-month-lows-trump-axes-chevrons-venezuela-license-2025-02-27/</t>
  </si>
  <si>
    <t>The sentiment is 'bullish' because the cancellation of Chevron's Venezuela licence suggests a potential reduction in global oil supply, which could lead to higher prices.</t>
  </si>
  <si>
    <t>BP Asks Shareholders to Pay for Its Mistakes</t>
  </si>
  <si>
    <t>https://www.google.com/url?sa=t&amp;rct=j&amp;q=&amp;esrc=s&amp;source=newssearch&amp;cd=&amp;cad=rja&amp;uact=8&amp;ved=2ahUKEwi-_9WKyZGMAxXWi68BHUZeAIg4HhDF9AEoAHoECA4QAQ&amp;url=https%3A%2F%2Fwww.bloomberg.com%2Fopinion%2Farticles%2F2025-02-26%2Fbp-asks-shareholders-to-pay-for-its-mistakes&amp;usg=AOvVaw1FISUYErbb_klUHQyjBYiT&amp;opi=89978449</t>
  </si>
  <si>
    <t>The sentiment is 'bearish' because the headline implies that BP's shareholders will be forced to absorb the financial burden of the company's mistakes, which could lead to a decrease in share value and investor confidence.</t>
  </si>
  <si>
    <t>Oil prices fall 2% to two-month low on worries about US economy</t>
  </si>
  <si>
    <t>https://www.reuters.com/business/energy/oil-prices-gain-second-day-us-sanctions-iran-raise-supply-concerns-2025-02-25/</t>
  </si>
  <si>
    <t>The sentiment is 'bearish' because a 2% decline in oil prices to a two-month low indicates a weakening demand outlook, which is likely driven by concerns about the slowing US economy, a major oil consumer.</t>
  </si>
  <si>
    <t>Oil Holds Gain After Fresh Iran Sanctions, Trumpâ€™s Tariff Talk - Bloomberg.com</t>
  </si>
  <si>
    <t>https://news.google.com/rss/articles/CBMipAFBVV95cUxNVmVPNDZzalc0SThnZmF6d24yT1JnLXFNQTNTSDdWN0t2bDB5UTA3WjBkaWRsZUlVcksyLWJIc1p1eVlmM3lxMVlMSVRmd3ZGb0MwX0d5RnpsQ1dBZ0JrWEowbDk5UjNxUFpDMV9WYkFSOF9wd0ZfZkp4UURWa3pOb1JGRUdNMm9ncUVQVGNhU1N4QVRqTFI5eHhKZ3NNSDdfQnc0ag?oc=5</t>
  </si>
  <si>
    <t>The sentiment is 'bullish' because the headline suggests that oil prices are holding their gains despite potential negative impacts from Trump's tariff talk, implying that the market is shrugging off potential bearish factors and instead focusing on the positive impact of fresh Iran sanctions on prices.</t>
  </si>
  <si>
    <t>Oil prices fall 2% to two-month low on worries about US economy - Reuters</t>
  </si>
  <si>
    <t>https://news.google.com/rss/articles/CBMiugFBVV95cUxNZ1lSS1RxbXhtak1SS3dxOUpVaVRYeFFkU2c3R3JJSHdfVHVwNnlMbUhpUWM3MGRyaExCSmFBZzA2aHV1eXhQSm1aeVk0LWszYlVZUUVVSmE1YWp1TXlPMFpva1pMelU3X2N6NGoxdTFadG04SVczUm9VVWdBM0p3RE1xRHlneG9ieWx0R3RvdWhEdTAzejBOOGYtbTJjZEJMak4yWWd2R1hycG94WXIxQlBUQjhqX2lwRWc?oc=5</t>
  </si>
  <si>
    <t>The sentiment is 'bearish' because a 2% drop in oil prices to a two-month low, triggered by concerns about the US economy, suggests a decrease in demand expectations and a potential slowdown in economic growth, which would negatively impact oil prices.</t>
  </si>
  <si>
    <t>Iran Oil Flows Seen Curbed by Rush for Unsanctioned Tankers</t>
  </si>
  <si>
    <t>https://www.bloomberg.com/news/articles/2025-02-25/iran-oil-flows-seen-curbed-by-rush-for-unsanctioned-tankers</t>
  </si>
  <si>
    <t>The sentiment is not 'bullish' because the headline suggests that Iran's oil flows will be curbed, implying a reduction in global oil supply, which would normally have a bearish impact on oil prices, not a bullish one.</t>
  </si>
  <si>
    <t>Oil Prices Fall on Trade Concerns, Push for Russia-Ukraine Peace Deal</t>
  </si>
  <si>
    <t>https://www.wsj.com/finance/commodities-futures/oil-prices-mixed-prospects-of-more-supply-may-weigh-cda955b5</t>
  </si>
  <si>
    <t>The sentiment is 'bearish' because the headline suggests that oil prices are falling due to concerns over trade, which implies a decrease in demand, and the push for a peace deal between Russia and Ukraine may lead to increased oil supply, thereby exerting further downward pressure on prices.</t>
  </si>
  <si>
    <t>Oil Speculators Turn Sour as Bullish Wagers Get Trimmed Back - Bloomberg.com</t>
  </si>
  <si>
    <t>https://news.google.com/rss/articles/CBMisAFBVV95cUxNQU5QN1FwanZTMVM0YzJQay0xX0ZGTGM1cXdHRjF6YUp2M1UwMGZERHJnSVJ1SUJwaXotMGVnNlp2ZjRrU0NXcGxsdzhNamdfRUZ3TDBCNnQ1Z29zbnFjZ3dMbDZHYm5BQ0VSLWFGVi1xMV9QYTZaNmM5NlVacHQtNG5pckxkcmYxRVFTU2pIZXY2NV9EZzRNTS1LUklEWlpubUs5SU1MYUd0a1F3cFFGTw?oc=5</t>
  </si>
  <si>
    <t>The sentiment is 'bearish' because the reduction in bullish wagers by oil speculators suggests a decrease in optimism about future oil price increases, implying a potential downward pressure on prices.</t>
  </si>
  <si>
    <t>Exclusive | Africaâ€™s Richest Man and His $20 Billion Oil Refinery From Hell - WSJ</t>
  </si>
  <si>
    <t>https://news.google.com/rss/articles/CBMimwFBVV95cUxQRTV5bG1oRjFRZnRpLWJuQnV5SXc3eTkxM293NlBuczc5Y0NvRlZVNUJiWnlyYWtzaDBNbHUtMW5fbHNPQ25GTHZSVFNIdzV2d25aQnFaZDd4N1BKMWlLWUVPNnlhUGNodldnNnRPbjVIbzZOQnRETXRBa1hZWXQxWlBHYmRlWTR2bFZPQkVJQnE5N3psR1owSFdoRQ?oc=5</t>
  </si>
  <si>
    <t>The sentiment is 'bearish' because the headline suggests that Africa's richest man is facing significant challenges with his $20 billion oil refinery, implying potential problems with the project's viability, profitability, or environmental and social impact, which could negatively affect investor confidence and the overall oil market sentiment.</t>
  </si>
  <si>
    <t>Oil settles down $2, posting weekly loss as Mideast risk premium fades</t>
  </si>
  <si>
    <t>https://www.reuters.com/business/energy/oil-extends-gains-strong-us-demand-hopes-russia-supply-concerns-2025-02-21/</t>
  </si>
  <si>
    <t>The sentiment is 'bearish' because the headline indicates a decline in oil prices, which is typically associated with a negative market outlook, and the fading of the Mideast risk premium implies that the market is no longer concerned about potential supply disruptions, leading to a decrease in demand for oil.</t>
  </si>
  <si>
    <t>Oil Set for Weekly Advance as Supply Uncertainty Clouds Outlook</t>
  </si>
  <si>
    <t>https://www.google.com/url?sa=t&amp;rct=j&amp;q=&amp;esrc=s&amp;source=newssearch&amp;cd=&amp;cad=rja&amp;uact=8&amp;ved=2ahUKEwi-_9WKyZGMAxXWi68BHUZeAIg4HhDF9AEoAHoECA8QAQ&amp;url=https%3A%2F%2Fwww.bloomberg.com%2Fnews%2Farticles%2F2025-02-20%2Flatest-oil-market-news-and-analysis-for-february-21&amp;usg=AOvVaw2LdMiMyC_Qh1ldRDm2lNrZ&amp;opi=89978449</t>
  </si>
  <si>
    <t>The sentiment is 'bullish' because the phrase "Supply Uncertainty Clouds Outlook" implies that potential supply disruptions or shortages could drive oil prices higher, which is a positive outlook for oil prices.</t>
  </si>
  <si>
    <t>Oil settles down $2, posting weekly loss as Mideast risk premium fades - Reuters</t>
  </si>
  <si>
    <t>https://news.google.com/rss/articles/CBMitgFBVV95cUxOcWNWaXdNNEVwajIxOVJRaTRFZGhWTDBnVVNoOGJZWW1lMDI1Y2xTNXlUSmdHbmZQUlUwU2ZXRE9YM0VNWEF1enJiTnA5WDVmZ3lZZE9KT2xVby1ndWtLQW9mdUx1a1pZRW5lczlDcGFsVHRfRDlnUldrX0NHUDAzbW9PS0VrSnMxWmtXbm95X2VHOTZtaE16OXIyX0ZPOU5ZZmY4MTdTN0Z0eEZ2dWVZakN2bE9kUQ?oc=5</t>
  </si>
  <si>
    <t>The sentiment is 'bearish' because the headline indicates that oil prices have fallen by $2, resulting in a weekly loss, which suggests a downward trend in the market, eroding investor confidence and indicating potential further declines.</t>
  </si>
  <si>
    <t>Stock Market News, Feb. 21, 2025: Dow Industrials End Lower; UnitedHealth Stock Slides - WSJ</t>
  </si>
  <si>
    <t>https://news.google.com/rss/articles/CBMikgFBVV95cUxPN3p5VVpzaHc4NWowMjl6ejF2MmcwcGJIU0JuY2NBbEpObXJ5UDlJSFhQUzhUS2Rza2pPSHRYMWpDNFBLUHJuYTZOdzlBSmJRZFpOZ1NWX093eXk4cDAySFdpRFFWYUZreFpVUDJGcmVXTjlVR2FkYmV4ZVM2RFFMNjZYQWtBYnFpMEJXM3F4eDVlQQ?oc=5</t>
  </si>
  <si>
    <t>The sentiment is 'unrelated' because the headline discussing the stock market and specific companies like UnitedHealth has no apparent connection to the oil market, making it unrelated to the field of oil market analysis.</t>
  </si>
  <si>
    <t>Oil rises for third day on US fuel stocks draw, worries about Russia disruptions</t>
  </si>
  <si>
    <t>https://www.reuters.com/business/energy/oil-prices-ease-after-report-us-crude-inventories-rise-2025-02-20/</t>
  </si>
  <si>
    <t>The sentiment is 'bullish' because the draw in US fuel stocks and concerns about potential disruptions to Russian supplies suggest a tightening of the market, which would support higher prices.</t>
  </si>
  <si>
    <t>Oil Holds Gain With Focus on US Stockpiles, Supply Uncertainty - Bloomberg.com</t>
  </si>
  <si>
    <t>https://news.google.com/rss/articles/CBMipAFBVV95cUxPVkxiUUxfRlJOSmtudHNraHBMaENOOVE5OWRiazQ5VnlKVS1HeWFDdWRaSm12UURsd0N4b3JvREJfNUstWFlLaWFXY3RKVDBPTzBKT0x2NjVaY2k0SHJEaWJMcGN5TEV6Rl9ybWl6M21XOWNSYWJ6UXFDTkVQSGU3RGgyOFJKOC1ldFRaYkFfejNIX19IS3RuVUVwdUphY0xJRi1mQw?oc=5</t>
  </si>
  <si>
    <t>The sentiment is 'unrelated' because the headline primarily discusses the current market situation and outlook for oil prices, without expressing a clear positive, negative, or neutral emotional tone, making it neutral or unrelated in terms of sentiment.</t>
  </si>
  <si>
    <t>Oil rises for third day on US fuel stocks draw, worries about Russia disruptions - Reuters</t>
  </si>
  <si>
    <t>https://news.google.com/rss/articles/CBMiqgFBVV95cUxNR00xSmVqMXk1WHBKcVY0WXB0Rk9MNl9tMHNmcGJBR3RHcTFPRXNrcnNVTkMtdUZmeVpfdVhUcnB4azZCblk5RFJYWDFWQjZQNlRXZEpDWENDLWtZQzUydmkzTXRBcTluT0R0MHo1MU1OMkZ1MHJ0dUZnOEl6UmNwQVg5bGdBYjVock9WR2tDMmpYQXBTTm5mcUFMVFJ1elk3MThKWEgtNC1YUQ?oc=5</t>
  </si>
  <si>
    <t>The sentiment is 'bullish' because the headline suggests that oil prices are rising due to a drawdown in US fuel stocks and concerns about potential supply disruptions from Russia, indicating a tightening of the market and a positive outlook for oil prices.</t>
  </si>
  <si>
    <t>Blackstone-Owned Airtrunk Mulls ABS Bonds to Fuel Asian Growth</t>
  </si>
  <si>
    <t>https://www.bloomberg.com/news/articles/2025-02-20/blackstone-owned-airtrunk-mulls-abs-bonds-to-fuel-asian-growth</t>
  </si>
  <si>
    <t>The sentiment is 'unrelated' because the headline is about a data center operator (Airtrunk) exploring bond issuance to fund growth in Asia, which has no discernible connection to the oil market, making it unrelated to my area of expertise.</t>
  </si>
  <si>
    <t>Oil settles up on supply hits, traders cautious on Ukraine peace talks</t>
  </si>
  <si>
    <t>https://www.reuters.com/business/energy/brent-oil-prices-tick-down-after-gaining-caspian-pump-station-attack-2025-02-18/</t>
  </si>
  <si>
    <t>The sentiment is 'bullish' because the headline suggests that oil prices rose due to supply disruptions, which implies a tightening of the market and supports a positive outlook for oil prices.</t>
  </si>
  <si>
    <t>Oil Steadies After Gain With OPEC+ and Russian Supply in Focus</t>
  </si>
  <si>
    <t>https://www.google.com/url?sa=t&amp;rct=j&amp;q=&amp;esrc=s&amp;source=newssearch&amp;cd=&amp;cad=rja&amp;uact=8&amp;ved=2ahUKEwi-_9WKyZGMAxXWi68BHUZeAIg4HhDF9AEoAHoECA0QAQ&amp;url=https%3A%2F%2Fwww.bloomberg.com%2Fnews%2Farticles%2F2025-02-18%2Flatest-oil-market-news-and-analysis-for-feb-19&amp;usg=AOvVaw1eeTMsN638F7ifMnOkzCpW&amp;opi=89978449</t>
  </si>
  <si>
    <t>The sentiment is 'unrelated' because the headline is simply reporting on the current state of the oil market, providing factual information about oil prices and highlighting the focus on OPEC+ and Russian supply, without expressing a positive, negative, or neutral emotional tone, making it unrelated to sentiment.</t>
  </si>
  <si>
    <t>The Banksy market peaked â€” but thereâ€™s a reason his prices are still riding high</t>
  </si>
  <si>
    <t>https://www.ft.com/content/0ad0cdfa-652a-426c-b877-f09460e9bcf0</t>
  </si>
  <si>
    <t>The sentiment is 'unrelated' because the article is discussing the art market, specifically the valuation of Banksy's works, which has no apparent correlation or impact on the oil market.</t>
  </si>
  <si>
    <t>Oil Exports From Russiaâ€™s Busiest Port Unencumbered by Sanctions</t>
  </si>
  <si>
    <t>https://www.bloomberg.com/news/articles/2025-02-19/oil-exports-from-russia-s-busiest-port-unencumbered-by-sanctions</t>
  </si>
  <si>
    <t>The sentiment is 'bullish' because the headline suggests that Russian oil exports from its busiest port are continuing uninterrupted, implying that global oil supplies will not be significantly disrupted, which is a positive development for the oil market.</t>
  </si>
  <si>
    <t>Oil Holds Advance With OPEC+ Possibly Delaying Supply Increase - Bloomberg.com</t>
  </si>
  <si>
    <t>https://news.google.com/rss/articles/CBMingFBVV95cUxPZlFjVHhqbk0tdGJsb1hQWkIySC1GajR3N2JsNXh3TTVwRnVSY0lhZEwzbUxSX3hXM1FiSHM4MDliQnp0NFFWMVVGS1JoMVNLSGtUNENVWlROakliNDQ0X2k4eUdFa3BqME5FRHVUYThtV1dWcFk5akdWSXduc3Z5ZDAwSXA0N2haendSYzIxbURKM1paWV9PVWpfODFldw?oc=5</t>
  </si>
  <si>
    <t>The sentiment is 'bullish' because a potential delay in supply increases by OPEC+ suggests that the oil cartel is willing to maintain a tighter market, which could lead to higher prices.</t>
  </si>
  <si>
    <t>War in Ukraine: G-7 Allies Weigh Tightening Russian Oil Price Cap to Hurt Moscow</t>
  </si>
  <si>
    <t>https://www.google.com/url?sa=t&amp;rct=j&amp;q=&amp;esrc=s&amp;source=newssearch&amp;cd=&amp;cad=rja&amp;uact=8&amp;ved=2ahUKEwi-_9WKyZGMAxXWi68BHUZeAIg4HhDF9AEoAHoECAkQAQ&amp;url=https%3A%2F%2Fwww.bloomberg.com%2Fnews%2Farticles%2F2025-02-18%2Fg-7-allies-weigh-tightening-russian-oil-price-cap-to-hurt-moscow&amp;usg=AOvVaw2QU0BHt_AMiKsxLCLMmutM&amp;opi=89978449</t>
  </si>
  <si>
    <t>The sentiment is not 'bullish' because a tightening of the Russian oil price cap would likely lead to reduced Russian oil exports, resulting in tighter global supply and potentially higher oil prices, which would not be a bullish development for the oil market.</t>
  </si>
  <si>
    <t>Oil settles up on supply hits, traders cautious on Ukraine peace talks - Reuters</t>
  </si>
  <si>
    <t>https://news.google.com/rss/articles/CBMivAFBVV95cUxOaDBqSEtkcUdMNDFSMHNyYWJHQ2EySmtiYTFTeTdUbVYycTVvTUh3UVNZZ1FCQk5YNEFNN1drRnYxZktqeUtob3lvbExqZ0RqY2EzQ0Q3bWxzOEI2VjYxSmJpS0FzbmlPclVES21BaTBKTWFqdHZvUlBOOGJPVEVDUUt5NjZfUS1jR3lpdGpPOC04cHpodHBOeDFORHZkOTNwR2ZPemE3NXhpejJhcUktajBSSjdCRWdNc1d1aQ?oc=5</t>
  </si>
  <si>
    <t>The sentiment is 'bullish' because the phrase "Oil settles up" explicitly indicates a positive price movement, which is further supported by the mention of "supply hits", implying a decrease in output that can lead to higher prices, outweighing the caution surrounding Ukraine peace talks.</t>
  </si>
  <si>
    <t>Goldman Cuts Oil Forecasts on Slow US Growth, OPEC+ Polic</t>
  </si>
  <si>
    <t>https://www.google.com/url?sa=t&amp;rct=j&amp;q=&amp;esrc=s&amp;source=newssearch&amp;cd=&amp;cad=rja&amp;uact=8&amp;ved=2ahUKEwisyf-fy5CMAxUdU2wGHQPeH4IQxfQBKAB6BAgIEAE&amp;url=https%3A%2F%2Fwww.bloomberg.com%2Fnews%2Farticles%2F2025-03-16%2Fgoldman-cuts-oil-price-forecasts-on-slow-us-growth-opec-policy%3Fsrnd%3Dphx-markets&amp;usg=AOvVaw3RGv-7lb-W1lRpYNCgbEwU&amp;opi=89978449</t>
  </si>
  <si>
    <t>The sentiment is 'bearish' because the headline suggests that Goldman Sachs, a prestigious financial institution, is downgrading its oil price forecasts due to sluggish US economic growth and potential oversupply from OPEC+, which implies a negative outlook for oil prices.</t>
  </si>
  <si>
    <t>Oil edges up with OPEC+ considering delay of April output hikes</t>
  </si>
  <si>
    <t>https://www.google.com/url?sa=t&amp;rct=j&amp;q=&amp;esrc=s&amp;source=newssearch&amp;cd=&amp;ved=2ahUKEwiz3fK4tZeMAxVhcWwGHU_yEyk4ChDF9AEoAHoECAwQAQ&amp;url=https%3A%2F%2Fwww.moneyweb.co.za%2Fnews%2Fmarkets%2Foil-edges-up-with-opec-considering-delay-of-april-output-hikes%2F&amp;usg=AOvVaw2uZFFuOTunXsPlQoU5RXWi&amp;opi=89978449</t>
  </si>
  <si>
    <t>The sentiment is 'bullish' because the delay in output hikes implies that OPEC+ is willing to maintain a tighter supply balance, which could lead to higher prices and benefit oil producers.</t>
  </si>
  <si>
    <t>Brent oil prices tick down after gaining on Caspian pump station attack</t>
  </si>
  <si>
    <t>https://kfgo.com/2025/02/17/brent-oil-prices-tick-down-after-gaining-on-caspian-pump-station-attack/</t>
  </si>
  <si>
    <t>The sentiment is 'bearish' because the headline suggests that oil prices have decreased, albeit slightly, after an initial increase following a supply disruption, implying that the market is more focused on the downward correction than the potential supply risks.</t>
  </si>
  <si>
    <t>â€˜Gulf of Americaâ€™ Embraced by Oil Companies - WSJ</t>
  </si>
  <si>
    <t>https://news.google.com/rss/articles/CBMimwFBVV95cUxQOTNxQ1d1WUE5dDUwa3V2V2NJVmRIUlRCaWZmc2k5cXZCVE9yLVhEUXN6UHVQcURENVNVdmQyWU1hdkdzSm9ZaXI2aG5JOElkSy12U2ZIaXRTS3dEaWZUY0dDTVhGaXNmcUp5alJmUFRiLUZyWVlSRWlNdnhaOTY5R2QxSHRMcUdqLXBzMGxUY3ZndVRSWE1FY3k2RQ?oc=5</t>
  </si>
  <si>
    <t>The sentiment is 'bullish' because the headline suggests that oil companies are supporting and investing in the "Gulf of America" region, implying potential growth and increased activity in the oil industry, which is typically associated with a positive outlook.</t>
  </si>
  <si>
    <t>Sun Life Falls by Most Since March 2020 on US Segment Weakness</t>
  </si>
  <si>
    <t>https://www.bloomberg.com/news/articles/2025-02-13/sun-life-falls-by-most-since-march-2020-on-us-segment-weakness</t>
  </si>
  <si>
    <t>The sentiment is 'unrelated' because Sun Life is an insurance company and the headline is discussing its stock performance, which has no direct correlation or impact on the oil market.</t>
  </si>
  <si>
    <t>Oil settles flat, pares early losses as tariffs delayed</t>
  </si>
  <si>
    <t>https://www.reuters.com/business/energy/oil-falls-potential-ukraine-peace-deal-may-ease-supply-disruptions-2025-02-13/</t>
  </si>
  <si>
    <t>The sentiment is 'unrelated' because the headline is simply reporting on the outcome of a specific market event (oil prices) without expressing a positive, negative, or neutral opinion about it, thereby failing to convey a sentiment.</t>
  </si>
  <si>
    <t>What Would a Russia-Ukraine Peace Deal Mean for Energy?</t>
  </si>
  <si>
    <t>https://www.google.com/url?sa=t&amp;rct=j&amp;q=&amp;esrc=s&amp;source=newssearch&amp;cd=&amp;cad=rja&amp;uact=8&amp;ved=2ahUKEwi-_9WKyZGMAxXWi68BHUZeAIg4HhDF9AEoAHoECAoQAQ&amp;url=https%3A%2F%2Fwww.bloomberg.com%2Fnews%2Fvideos%2F2025-02-14%2Fwhat-would-a-russia-ukraine-peace-deal-mean-for-energy-video&amp;usg=AOvVaw13vakKU511Gc6pkzNF4ykY&amp;opi=89978449</t>
  </si>
  <si>
    <t>The sentiment is 'bullish' because a potential Russia-Ukraine peace deal would likely reduce geopolitical tensions and uncertainty, leading to increased oil production and exports from the region, which would put downward pressure on global oil prices and benefit energy consumers.</t>
  </si>
  <si>
    <t>Oil settles lower, supply worries ease on hopes for Ukraine peace deal</t>
  </si>
  <si>
    <t>https://www.reuters.com/business/energy/oil-set-snap-three-week-losing-streak-amid-rising-fuel-demand-2025-02-14/</t>
  </si>
  <si>
    <t>The sentiment is 'bearish' because the headline suggests that oil prices are decreasing due to easing supply worries, implying a reduction in upward price pressure, which is a negative development for oil bulls.</t>
  </si>
  <si>
    <t>Latest US sanctions on Russia throw global oil trade into disarray</t>
  </si>
  <si>
    <t>https://www.reuters.com/business/energy/latest-us-sanctions-russia-throw-global-oil-trade-into-disarray-2025-02-14/</t>
  </si>
  <si>
    <t>The sentiment is not 'bullish' because the headline suggests that the latest US sanctions on Russia will disrupt the global oil trade, leading to potential supply shortages and price volatility, which is typically bearish for the oil market.</t>
  </si>
  <si>
    <t>Oil settles flat, pares early losses as tariffs delayed - Reuters</t>
  </si>
  <si>
    <t>https://news.google.com/rss/articles/CBMiugFBVV95cUxQTXJvOU5iazE4cHFSRXZhRHhMNGJjTFBhb2pTd0lfVGUtOVhGQ1pmWEw5RUlfWUZBNXVTWDU1OHdlRFhTTEp4VzhCU2FIZHJoM0N4RDRZZmtSR2hWSmIwbUpkMkFKYy1rZE5qZ2NkdFpFZV9UanNxWmgtLTZYZzMzMi1odHA4aUFlQ3J6VE1rek00WFlJNzNZdWZQQzNqTnRFaTlyV0RHY1VUREZ5VVFFV3J0cDZwc214SEE?oc=5</t>
  </si>
  <si>
    <t>The sentiment is 'unrelated' because the headline is primarily focused on reporting a neutral, factual event (oil prices settling flat) rather than expressing a clear positive, negative, or emotional tone.</t>
  </si>
  <si>
    <t>Turkish Oil Refining Giant Tupras Shies Away From Russian Oil Due to US Sanctions</t>
  </si>
  <si>
    <t>https://www.google.com/url?sa=t&amp;rct=j&amp;q=&amp;esrc=s&amp;source=newssearch&amp;cd=&amp;cad=rja&amp;uact=8&amp;ved=2ahUKEwjL_fuSypGMAxWrr1YBHRpLOAk4KBDF9AEoAHoECAkQAQ&amp;url=https%3A%2F%2Fwww.bloomberg.com%2Fnews%2Farticles%2F2025-02-13%2Fturkey-s-tupras-shies-away-from-russian-oil-after-us-sanctions&amp;usg=AOvVaw1fbzujcth26NuGnVYEsAvj&amp;opi=89978449</t>
  </si>
  <si>
    <t>The sentiment is not 'bullish' because the headline suggests that Tupras is avoiding Russian oil due to US sanctions, which may lead to supply chain disruptions and potential shortages, ultimately putting upward pressure on oil prices, which would be more bearish than bullish for the market.</t>
  </si>
  <si>
    <t>Oil Steadies as US Industry Report Points to Big Stockpile Gain - Bloomberg.com</t>
  </si>
  <si>
    <t>https://news.google.com/rss/articles/CBMipAFBVV95cUxNSFVKSWhQVEtrSzJIbEdEeXc4UlVjd25nbVNwNVRSWDNVLTdCNEd6SkFnQjI3eDJMREJRNkJwUDBzMEtYcmM2QTNmMklkbWNKQ0ZZY3pJMzA4YWMtU1ZmczhXX2VXOXNWMlZaMURjRzBSa1NYVmlFMWhLSFZCNE1YM1p1am9DaXR2ZUhUeV9NSExlMDkzRmRUN3BENDFYQ0hUeEtEdA?oc=5</t>
  </si>
  <si>
    <t>The sentiment is 'bearish' because a big stockpile gain suggests an oversupply of oil in the market, which puts downward pressure on prices.</t>
  </si>
  <si>
    <t>Watch US Oil Output Can Grow 'Meaningfully,' Energy Secretary Wright Says</t>
  </si>
  <si>
    <t>https://www.google.com/url?sa=t&amp;rct=j&amp;q=&amp;esrc=s&amp;source=newssearch&amp;cd=&amp;cad=rja&amp;uact=8&amp;ved=2ahUKEwjL_fuSypGMAxWrr1YBHRpLOAk4KBDF9AEoAHoECA8QAQ&amp;url=https%3A%2F%2Fwww.bloomberg.com%2Fnews%2Fvideos%2F2025-02-11%2Fus-oil-output-can-grow-meaningfully-energy-sec-wright-video&amp;usg=AOvVaw0JoVhxhCCkNXDYfZAVTCzu&amp;opi=89978449</t>
  </si>
  <si>
    <t>The sentiment is not 'bearish' because an increase in US oil output, as hinted by Energy Secretary Wright, would likely lead to increased supply, which could put downward pressure on oil prices, thus being seen as a bullish signal for oil consumers, but bearish for oil producers.</t>
  </si>
  <si>
    <t>Oil sinks 2% after Trump calls Putin, Zelenskiy to discuss end to war in Ukraine - Reuters</t>
  </si>
  <si>
    <t>https://news.google.com/rss/articles/CBMiqwFBVV95cUxNcGZxajQyWE9ucHo3M0U5NXZFRWpYbXd2MzN2ZEstTmRPUkIzOHJDWFI0T2dOWUJDNzBtYXFnUGo0RjJQaVc1WmFDVVQyYU4yODJ0V2JZN21kY1VtVUtESWtpckJKcmJvOHNYNC0tcjZ1OUFDTVN3cnE1WGRXcHRLaURaNmZRV0dPeVVWUVdOWUFGTUhMNkd3QnhkTGdzaERqcjJSSXFRRlAtZzA?oc=5</t>
  </si>
  <si>
    <t>The sentiment is 'bearish' because the headline implies that a potential resolution to the conflict in Ukraine could lead to increased oil supplies from Russia, which would put downward pressure on oil prices.</t>
  </si>
  <si>
    <t>Watch Petrobras â€˜Resilientâ€™ to Lower Oil, CEO Says</t>
  </si>
  <si>
    <t>https://www.google.com/url?sa=t&amp;rct=j&amp;q=&amp;esrc=s&amp;source=newssearch&amp;cd=&amp;cad=rja&amp;uact=8&amp;ved=2ahUKEwjL_fuSypGMAxWrr1YBHRpLOAk4KBDF9AEoAHoECAwQAQ&amp;url=https%3A%2F%2Fwww.bloomberg.com%2Fnews%2Fvideos%2F2025-02-12%2Fpetrobras-is-resilient-to-lower-oil-prices-ceo-says&amp;usg=AOvVaw2FnWssy_pjgofm9tax-tvv&amp;opi=89978449</t>
  </si>
  <si>
    <t>The sentiment is 'bullish' because the CEO's confidence in Petrobras' resilience despite lower oil prices implies that the company's fundamentals are strong enough to withstand industry headwinds, which could lead to an upside in the company's stock or performance.</t>
  </si>
  <si>
    <t>Oil sinks 2% after Trump calls Putin, Zelenskiy to discuss end to war in Ukraine</t>
  </si>
  <si>
    <t>https://www.google.com/url?sa=t&amp;rct=j&amp;q=&amp;esrc=s&amp;source=newssearch&amp;cd=&amp;ved=2ahUKEwiEstW64JeMAxXFXmwGHQENEW84HhDF9AEoAHoECBEQAQ&amp;url=https%3A%2F%2Fwww.reuters.com%2Fbusiness%2Fenergy%2Foil-prices-retreat-after-report-us-crude-stockpile-rise-2025-02-12%2F&amp;usg=AOvVaw0a95yDRfouWdRPr3-8qLbm&amp;opi=89978449</t>
  </si>
  <si>
    <t>The sentiment is 'bearish' because a potential end to the war in Ukraine could lead to increased oil supplies from Russia and Ukraine, which would put downward pressure on oil prices.</t>
  </si>
  <si>
    <t>Tanker With Oil From Sanctioned Russian Producer Idles Off India</t>
  </si>
  <si>
    <t>https://www.bloomberg.com/news/articles/2025-02-11/tanker-with-oil-from-sanctioned-russian-producer-idles-off-india</t>
  </si>
  <si>
    <t>The sentiment is 'bearish' because the idling of a tanker carrying sanctioned Russian oil off India implies a disruption to global oil supply, potentially leading to tighter markets and higher prices, which could negatively impact oil demand and economic growth.</t>
  </si>
  <si>
    <t>Australiaâ€™s Government Prepared to Take Over Failed Airline Rex</t>
  </si>
  <si>
    <t>https://www.bloomberg.com/news/articles/2025-02-11/australia-s-government-prepared-to-take-over-failed-airline-rex</t>
  </si>
  <si>
    <t>The Black Market for Oil Will Continue to Thrive</t>
  </si>
  <si>
    <t>https://www.bloomberg.com/opinion/articles/2025-02-11/the-black-market-for-oil-will-continue-to-thrive</t>
  </si>
  <si>
    <t>Russia's Sakhalin Island Oil Is Backing Up After US Sanctions</t>
  </si>
  <si>
    <t>https://www.bloomberg.com/news/articles/2025-02-11/russia-s-sakhalin-island-oil-is-backing-up-after-us-sanctions</t>
  </si>
  <si>
    <t>Oil prices climb to 2-week high on supply worries, US tariffs check gains</t>
  </si>
  <si>
    <t>https://www.reuters.com/markets/commodities/oil-steady-investors-digest-new-us-steel-aluminium-tariffs-2025-02-11/</t>
  </si>
  <si>
    <t>Oil Steadies After Weekly Decline as Market Weighs Trump Tariffs - Bloomberg.com</t>
  </si>
  <si>
    <t>https://news.google.com/rss/articles/CBMingFBVV95cUxPMml4Q3A3X29CclRNYkRTVy1VWmlpbVlEZ2JZTTFwR21XM2oyd0lTdm1oVDBESUNpbFJYeXBvOXVsd3FtNWRkcVRmOFlGUTYzaDZRS1VCQWhQNF80S01CX2RWZEhrcy1qSG1rV1BFTWp3QWJTTmRwOEt1V00ybmtHLWdFVUJWa0Ezd21sNDF6Z0tUWk1tQWQxYTVIbTZOQQ?oc=5</t>
  </si>
  <si>
    <t>Russia Says Crude Output Has Fallen Further Below OPEC+ Target</t>
  </si>
  <si>
    <t>https://www.bloomberg.com/news/articles/2025-02-10/russia-says-crude-output-has-fallen-further-below-opec-target</t>
  </si>
  <si>
    <t>Oil gains nearly 2% despite trade war concerns - Reuters</t>
  </si>
  <si>
    <t>https://news.google.com/rss/articles/CBMioAFBVV95cUxOWTVRVFZDWkc0amRRQjZrX3g5VVdXMGJoZzItczR4VGtyZXNyS19YS3JqTXB2RlN6MW9oazk1aXQxb1lnUUxtS1AzUnNzV3pLZm1vSm1xZ043eVVzaGY0R3NpQmRjRmJOUldrdzlNRXBQMlBNNlJJMEQyN0NKZllLWHVEd3l4aUNqc0h5QVI2ZzJsOFk1QkRPSW5LeGpOLS1u?oc=5</t>
  </si>
  <si>
    <t>OPEC Heavyweights Boost Oil Prices as Sanctions Hit Russian Flow</t>
  </si>
  <si>
    <t>https://www.google.com/url?sa=t&amp;rct=j&amp;q=&amp;esrc=s&amp;source=newssearch&amp;cd=&amp;cad=rja&amp;uact=8&amp;ved=2ahUKEwjL_fuSypGMAxWrr1YBHRpLOAk4KBDF9AEoAHoECBEQAQ&amp;url=https%3A%2F%2Fwww.bloomberg.com%2Fnews%2Farticles%2F2025-02-10%2Fopec-heavyweights-boost-oil-prices-as-sanctions-hit-russian-flow&amp;usg=AOvVaw2p3oQNfAMpvpM-GoAuq6Va&amp;opi=89978449</t>
  </si>
  <si>
    <t>Oil prices advance despite concern over more US tariffs</t>
  </si>
  <si>
    <t>https://www.reuters.com/markets/commodities/oil-ticks-higher-investors-weigh-new-us-tariffs-2025-02-10/</t>
  </si>
  <si>
    <t>The sentiment is 'bullish' because the headline suggests that oil prices are rising despite concerns over potential negative impacts from additional US tariffs, implying that the market is shrugging off potential bearish news and instead focusing on other supportive factors driving prices higher.</t>
  </si>
  <si>
    <t>Gas at $100 a Barrel in Europe Makes Burning Oil More Attractive</t>
  </si>
  <si>
    <t>https://www.bloomberg.com/news/articles/2025-02-10/gas-at-100-a-barrel-in-europe-makes-burning-oil-more-attractive</t>
  </si>
  <si>
    <t>The sentiment is 'bullish' because the headline suggests that high gas prices are making burning oil a more attractive option, implying an increase in demand for oil and potentially driving up prices.</t>
  </si>
  <si>
    <t>Activist Elliott Said to Build Stake in Struggling Oil Major BP (BP/ LN)</t>
  </si>
  <si>
    <t>https://www.google.com/url?sa=t&amp;rct=j&amp;q=&amp;esrc=s&amp;source=newssearch&amp;cd=&amp;cad=rja&amp;uact=8&amp;ved=2ahUKEwjL_fuSypGMAxWrr1YBHRpLOAk4KBDF9AEoAHoECBIQAQ&amp;url=https%3A%2F%2Fwww.bloomberg.com%2Fnews%2Farticles%2F2025-02-08%2Factivist-elliott-said-to-build-stake-in-struggling-oil-major-bp&amp;usg=AOvVaw0ZraeoszMdBKfQpFnYQ9BR&amp;opi=89978449</t>
  </si>
  <si>
    <t>The sentiment is 'bullish' because the involvement of a prominent activist investor like Elliott Management, known for pushing for changes to boost shareholder value, implies that they see potential for improvement and growth in BP's struggling operations.</t>
  </si>
  <si>
    <t>Oil set for weekly drop as Trump tariffs outweigh Iran sanctions</t>
  </si>
  <si>
    <t>https://www.moneyweb.co.za/news/markets/oil-set-for-weekly-drop-as-trump-tariffs-outweigh-iran-sanctions/</t>
  </si>
  <si>
    <t>The sentiment is 'bearish' because the headline suggests that the negative impact of Trump's tariffs on the economy and subsequently on oil demand is outweighing the potential bullish influence of Iran sanctions on oil prices, implying a downward pressure on oil prices.</t>
  </si>
  <si>
    <t>Oil prices set for 3rd straight weekly fall on tariff concerns - Reuters</t>
  </si>
  <si>
    <t>https://news.google.com/rss/articles/CBMipgFBVV95cUxOek1XR1oxeHBkWjN2dUV2UUw5Zy1kbklETHB3MUx2TGZnYjM3OGtDMzM2TUFUbXZ2RkltTEhacDVyMWZqS1hXM3FnSkZxYnJiNjk2Q2VrOWJXT1NpWnd1WnpEWkxFZS1mSFZvNnhOSUg0NU12Z0dsbWhhc2F6YVd0ZVNKM0poS3p4UmdORXpKWmZJcVBkUm1TNVpSNVdDWTRUZTR4MXNR?oc=5</t>
  </si>
  <si>
    <t>The sentiment is 'bearish' because the headline clearly suggests that oil prices are trending downward due to tariff concerns, implying a negative outlook for the market.</t>
  </si>
  <si>
    <t>Oil settles down after Trump repeats pledge to boost US supply</t>
  </si>
  <si>
    <t>https://www.reuters.com/markets/commodities/oil-pares-losses-after-saudi-price-increase-2025-02-06/</t>
  </si>
  <si>
    <t>The sentiment is 'bearish' because Trump's pledge to boost US oil supply implies an increase in global oil production, which would put downward pressure on oil prices.</t>
  </si>
  <si>
    <t>Russian Oil Falls Back Below $60 Price Cap as US Sanctions Bite</t>
  </si>
  <si>
    <t>https://www.google.com/url?sa=t&amp;rct=j&amp;q=&amp;esrc=s&amp;source=newssearch&amp;cd=&amp;cad=rja&amp;uact=8&amp;ved=2ahUKEwjL_fuSypGMAxWrr1YBHRpLOAk4KBDF9AEoAHoECA0QAQ&amp;url=https%3A%2F%2Fwww.bloomberg.com%2Fnews%2Farticles%2F2025-02-06%2Frussian-oil-falls-back-below-60-price-cap-as-us-sanctions-bite&amp;usg=AOvVaw01Ph3O9BHQ2Dh0SglLcv8K&amp;opi=89978449</t>
  </si>
  <si>
    <t>The sentiment is 'bearish' because the headline suggests that the price of Russian oil has fallen below the $60 price cap, implying a decrease in value and potentially weakening demand, which is a negative outlook for the oil market.</t>
  </si>
  <si>
    <t>Oil Holds Near Lowest This Year as Trump Weighs on Sentiment</t>
  </si>
  <si>
    <t>https://www.google.com/url?sa=t&amp;rct=j&amp;q=&amp;esrc=s&amp;source=newssearch&amp;cd=&amp;cad=rja&amp;uact=8&amp;ved=2ahUKEwjL_fuSypGMAxWrr1YBHRpLOAk4KBDF9AEoAHoECAsQAQ&amp;url=https%3A%2F%2Fwww.bloomberg.com%2Fnews%2Farticles%2F2025-02-05%2Flatest-oil-market-news-and-analysis-for-february-6&amp;usg=AOvVaw3cyz-9NkdgXihrRhe4Mvrz&amp;opi=89978449</t>
  </si>
  <si>
    <t>The sentiment is 'bearish' because the headline suggests that oil prices are failing to recover from their lowest levels of the year, implying a lack of upward momentum and a prevailing negative market outlook, which is likely being exacerbated by Trump's actions or comments that are weighing on sentiment.</t>
  </si>
  <si>
    <t>Stock Market News, Feb. 5, 2025: S&amp;P 500 Turns Higher; Google, AMD in Focus - WSJ</t>
  </si>
  <si>
    <t>https://news.google.com/rss/articles/CBMijAFBVV95cUxQcTFQVzdIVHZhZDd3T0xZQTRVSjhQbGZyczZYazFsdXM1Z1JrS1JtS0lXOHFTNkpsalNiUThVUW4zdnZZaWw3a1J1NWVJVU1xVHdYMkp4Q2JZdHYydWhZNWlNSWh6ejdmVzJyOFRQMjhqaGJ4WHZ2WmpSb3NsdXJDNWhBbi1fSGpHY052Mg?oc=5</t>
  </si>
  <si>
    <t>The sentiment is 'unrelated' because this headline appears to be discussing the stock market, specifically the S&amp;P 500, and technology companies like Google and AMD, which has no direct connection to the oil market.</t>
  </si>
  <si>
    <t>Oil Falls Despite Trump Reimposing â€˜Maximum Pressureâ€™ on Iran</t>
  </si>
  <si>
    <t>https://www.wsj.com/finance/commodities-futures/oil-edges-higher-caution-may-dominate-aee58f61</t>
  </si>
  <si>
    <t>The sentiment is 'bearish' because the reimposition of sanctions on Iran, a major oil producer, would be expected to lead to a decrease in global oil supply and thereby drive up prices, but instead, oil prices are falling, indicating that the market is not responding as expected to the supply disruption.</t>
  </si>
  <si>
    <t>Oil mixed as Trump restores pressure on Iran, tariff drama caps prices</t>
  </si>
  <si>
    <t>https://www.reuters.com/markets/commodities/wti-oil-prices-down-after-mexico-canada-say-trump-agrees-pause-tariffs-2025-02-03/</t>
  </si>
  <si>
    <t>The sentiment is not 'unrelated' because the headline clearly indicates that Trump's pressure on Iran and tariff drama are both influencing oil prices, implying a direct relationship between these geopolitical events and the oil market, rather than being unrelated.</t>
  </si>
  <si>
    <t>Oil down as US crude inventories swell, traders worry about China-US trade</t>
  </si>
  <si>
    <t>https://www.reuters.com/markets/commodities/oil-little-changed-market-shrugs-off-china-tariffs-iran-pressure-supports-2025-02-05/</t>
  </si>
  <si>
    <t>The sentiment is 'bearish' because the increase in US crude inventories suggests a supply glut, which, combined with concerns over the impact of the China-US trade tensions on global demand, would likely put downward pressure on oil prices.</t>
  </si>
  <si>
    <t>Oil Holds Drop as Trade War Concerns Vie With Pressure on Iran</t>
  </si>
  <si>
    <t>https://www.google.com/url?sa=t&amp;rct=j&amp;q=&amp;esrc=s&amp;source=newssearch&amp;cd=&amp;cad=rja&amp;uact=8&amp;ved=2ahUKEwiljOiry5GMAxVS1jQHHdJPHv04MhDF9AEoAHoECAgQAQ&amp;url=https%3A%2F%2Fwww.bloomberg.com%2Fnews%2Farticles%2F2025-02-04%2Flatest-oil-market-news-and-analysis-for-february-5&amp;usg=AOvVaw17x2TKYbjkQd9npVuo2iTT&amp;opi=89978449</t>
  </si>
  <si>
    <t>The sentiment is 'bearish' because the headline suggests that the downward pressure on oil prices from trade war concerns is offsetting any potential price support from pressure on Iran, implying that the negative impact of the trade war is dominant.</t>
  </si>
  <si>
    <t>Believing in Aliens Derailed This Internet Pioneerâ€™s Career. Now Heâ€™s Facing Prison</t>
  </si>
  <si>
    <t>https://www.bloomberg.com/news/features/2025-02-05/aliens-derailed-this-silicon-valley-exec-s-career-now-he-s-facing-prison</t>
  </si>
  <si>
    <t>The sentiment is 'unrelated' because the headline is about a person's career and potential prison sentence, which has no connection to the oil market or any related topic, making it an unrelated sentiment from an oil market analyst's perspective.</t>
  </si>
  <si>
    <t>Australia Braces for Global Trade War</t>
  </si>
  <si>
    <t>https://www.bloomberg.com/news/newsletters/2025-02-04/trade-war-deepseek-ban-bp-project-pause-australia-briefing</t>
  </si>
  <si>
    <t>The sentiment is 'bearish' because a global trade war would likely lead to reduced global economic activity, lower oil demand, and subsequently, a decrease in oil prices.</t>
  </si>
  <si>
    <t>U.S. Crude Oil Stockpiles Rise More Than Expected - WSJ</t>
  </si>
  <si>
    <t>https://news.google.com/rss/articles/CBMingFBVV95cUxOaWRXYy1HTDc0WWxqdEhZbnJvM2VIekYxS2pnQW5XMXFVNUxmdTJxa2RTTUVUNlVsVmhYRTdYZndLTUFaZ2JaYkxFV3R6amx2QVhDZi14WFhQMXBQd3UycGFUU0x6TnloanZheTZ6dFpYM2tHZzJzS3JURV93dU9xMXdMLUZmdzBsb2k5YWhaRnRpaFhYOEdZRzRaRkpGUQ?oc=5</t>
  </si>
  <si>
    <t>The sentiment is 'bearish' because a larger-than-expected increase in U.S. crude oil stockpiles suggests a supply glut, which can put downward pressure on oil prices.</t>
  </si>
  <si>
    <t>Russian Budgetâ€™s Oil Revenue in January Close to One-Year Low</t>
  </si>
  <si>
    <t>https://www.google.com/url?sa=t&amp;rct=j&amp;q=&amp;esrc=s&amp;source=newssearch&amp;cd=&amp;cad=rja&amp;uact=8&amp;ved=2ahUKEwjL_fuSypGMAxWrr1YBHRpLOAk4KBDF9AEoAHoECAgQAQ&amp;url=https%3A%2F%2Fwww.bloomberg.com%2Fnews%2Farticles%2F2025-02-05%2Frussian-budget-s-oil-revenue-in-january-close-to-one-year-low&amp;usg=AOvVaw2r2ehsB2eAspnbujcvIBE-&amp;opi=89978449</t>
  </si>
  <si>
    <t>The sentiment is 'bearish' because a decline in oil revenue for Russia's budget suggests decreased demand or lower prices, which could indicate a surplus of oil in the market, putting downward pressure on prices.</t>
  </si>
  <si>
    <t>Oil down as US crude inventories swell, traders worry about China-US trade - Reuters</t>
  </si>
  <si>
    <t>https://news.google.com/rss/articles/CBMiyAFBVV95cUxOUUhudDlsdEt5cFJ0eTdjZDhwTm1ob0hsZlIxdEREMEJDbDJDZjh3RWlzSGJKWGJmMWhfaE1lWVFpRXNUaWZheTdLQjJXYWFFWk5aV2RuTlFYTWI5dXI1TzBLN1g0ZFVqTzhTTkVFc3IyR0Z6Vkt4djk0OGdXZU56dDdRaENZSGplcTd6TlFzWEpPNVJVN1pDalotZ0FJSXBackFxWEJWeUpmdjFtemNTdGtnekVVb09IRlZmS0hCemd3Y0h2QVE1aw?oc=5</t>
  </si>
  <si>
    <t>The sentiment is 'bearish' because the headline suggests that rising US crude inventories, which indicates surplus supply, and concerns over China-US trade tensions, which could impact demand, are combining to weigh on oil prices.</t>
  </si>
  <si>
    <t>Chinaâ€™s tariff response</t>
  </si>
  <si>
    <t>https://www.ft.com/content/7f33acaa-61e6-4ee9-9ab8-9e4913fb70ff</t>
  </si>
  <si>
    <t>The sentiment is 'bearish' because China's tariff response is likely to reduce global trade and economic growth, which would lead to decreased demand for oil and put downward pressure on prices.</t>
  </si>
  <si>
    <t>Ceilings in 2025? $80 oil, $4 natural gas, $4.50 copper, $5 corn | Insights | Bloomberg Professional Services</t>
  </si>
  <si>
    <t>https://www.google.com/url?sa=t&amp;rct=j&amp;q=&amp;esrc=s&amp;source=newssearch&amp;cd=&amp;cad=rja&amp;uact=8&amp;ved=2ahUKEwjL_fuSypGMAxWrr1YBHRpLOAk4KBDF9AEoAHoECAoQAQ&amp;url=https%3A%2F%2Fwww.bloomberg.com%2Fprofessional%2Finsights%2Fcommodities%2Fceilings-in-2025-80-oil-4-natural-gas-4-50-copper-5-corn%2F&amp;usg=AOvVaw2Ag70Gan48o-8z-T-Lvomh&amp;opi=89978449</t>
  </si>
  <si>
    <t>The sentiment is 'bullish' because the projected prices for 2025, notably $80 oil and $5.50 copper, are significantly higher than current market levels, implying a strong upward trend and optimism about the future performance of these commodities.</t>
  </si>
  <si>
    <t>Oil prices close at 1-month low as US pauses tariffs on Mexico</t>
  </si>
  <si>
    <t>https://www.reuters.com/markets/commodities/oil-prices-jump-after-trump-imposes-tariffs-canada-mexico-china-2025-02-02/</t>
  </si>
  <si>
    <t>The sentiment is 'bearish' because the headline suggests that oil prices are declining, which is a negative development for oil producers and investors, and the pause in tariffs on Mexico is seen as a temporary respite rather than a long-term supportive factor for prices.</t>
  </si>
  <si>
    <t>Oil Erases 2025 Gain as US and China Lock Horns in Trade Dispute - Bloomberg.com</t>
  </si>
  <si>
    <t>https://news.google.com/rss/articles/CBMiowFBVV95cUxOQkZPMzRkRkhKamxXUXNoVHdWb284a2F5RXdfWnNIWlVrLWI0UlZkc1dldVUxMEpHR09MQ0w3UE1DaExPN0ozZVRSUUNmOENDOUtRaFR4ZEdWMHpqNlFGWTUwWGo5NDBCU2NqUHZuczVkd0djdHJ3N3c0d0NobGFYczFmVThSRWhWaWZYZ09WS1RUeGN0bll5Smsxd0V0ckt2SmVB?oc=5</t>
  </si>
  <si>
    <t>The sentiment is 'bearish' because the headline suggests that the ongoing trade tensions between the US and China are having a significant negative impact on the oil market, erasing gains made in 2025 and implying a downward pressure on oil prices.</t>
  </si>
  <si>
    <t>White &amp; Case Taps DOJ's Brent Wible as White Collar Partner</t>
  </si>
  <si>
    <t>https://news.bloomberglaw.com/business-and-practice/white-case-taps-dojs-brent-wible-as-white-collar-partner</t>
  </si>
  <si>
    <t>The sentiment is 'unrelated' because the headline appears to be about a law firm hiring a partner from the Department of Justice and has no obvious connection to the oil market, making it an unrelated news item from an oil market analyst's perspective.</t>
  </si>
  <si>
    <t>US and international oil producers are pushing back on the Trump administration's plan to pump more crude</t>
  </si>
  <si>
    <t>https://markets.businessinsider.com/news/commodities/trump-oil-energy-drilling-plan-opec-industry-production-wti-brent-2025-2</t>
  </si>
  <si>
    <t>The sentiment is not 'bullish' because the headline suggests resistance to increased oil production, which would typically lead to lower prices and a bearish sentiment, not higher prices and a bullish sentiment.</t>
  </si>
  <si>
    <t>Here's Why Oil Prices Could Go Higher in the Short Term</t>
  </si>
  <si>
    <t>https://oilprice.com/Energy/Crude-Oil/Heres-Why-Oil-Prices-Could-Go-Higher-in-the-Short-Term.html</t>
  </si>
  <si>
    <t>The sentiment is 'bullish' because the headline suggests that there are underlying factors that could drive oil prices upward in the near future, implying a positive outlook for oil prices.</t>
  </si>
  <si>
    <t>US Sanctions Bite With Russiaâ€™s Crude Exports Facing Delays Offloading</t>
  </si>
  <si>
    <t>https://www.bloomberg.com/news/articles/2025-02-04/us-sanctions-bite-with-russia-s-oil-exports-facing-delays-discharging</t>
  </si>
  <si>
    <t>The sentiment is not 'bullish' because the headline suggests that Russia's crude exports are facing delays, which would likely lead to a decrease in global oil supply and potentially drive prices up, making it a bearish sentiment for the oil market.</t>
  </si>
  <si>
    <t>Oil Rises as Trump Slaps Tariffs on Biggest Crude Supplier to US</t>
  </si>
  <si>
    <t>https://www.google.com/url?sa=t&amp;rct=j&amp;q=&amp;esrc=s&amp;source=newssearch&amp;cd=&amp;cad=rja&amp;uact=8&amp;ved=2ahUKEwiljOiry5GMAxVS1jQHHdJPHv04MhDF9AEoAHoECA4QAQ&amp;url=https%3A%2F%2Fwww.bloomberg.com%2Fnews%2Farticles%2F2025-02-02%2Flatest-oil-market-news-and-analysis-for-feb-3&amp;usg=AOvVaw0FdzC7MjTyjxMBqy9qw5Hl&amp;opi=89978449</t>
  </si>
  <si>
    <t>The sentiment is 'bullish' because the imposition of tariffs on the largest crude supplier to the US is likely to disrupt imports and tighten the domestic supply, thereby supporting oil prices.</t>
  </si>
  <si>
    <t>US Oil Outpaces Global Price Gains as Tariffs Menace Supply</t>
  </si>
  <si>
    <t>https://www.google.com/url?sa=t&amp;rct=j&amp;q=&amp;esrc=s&amp;source=newssearch&amp;cd=&amp;cad=rja&amp;uact=8&amp;ved=2ahUKEwiljOiry5GMAxVS1jQHHdJPHv04MhDF9AEoAHoECBEQAQ&amp;url=https%3A%2F%2Fwww.bloomberg.com%2Fnews%2Farticles%2F2025-02-03%2Fus-oil-gains-outpace-global-benchmark-on-trump-tariff-threats&amp;usg=AOvVaw0uOCCg_c5YAU-ci8m8q3v0&amp;opi=89978449</t>
  </si>
  <si>
    <t>The sentiment is not 'bullish' because the article highlights the potential disruption to supply from tariffs, which could lead to price volatility and uncertainty, rather than a fundamental improvement in demand or supply dynamics that would warrant a bullish outlook.</t>
  </si>
  <si>
    <t>OPEC+ Sticks to Oil Supply Plan Even as Trump Seeks Price Cut</t>
  </si>
  <si>
    <t>https://www.google.com/url?sa=t&amp;rct=j&amp;q=&amp;esrc=s&amp;source=newssearch&amp;cd=&amp;cad=rja&amp;uact=8&amp;ved=2ahUKEwiljOiry5GMAxVS1jQHHdJPHv04MhDF9AEoAHoECAsQAQ&amp;url=https%3A%2F%2Fwww.bloomberg.com%2Fnews%2Farticles%2F2025-02-03%2Fopec-sticks-to-supply-plan-even-as-trump-seeks-oil-price-cut&amp;usg=AOvVaw3gaDz8upNk4yZWehuAL0M5&amp;opi=89978449</t>
  </si>
  <si>
    <t>The sentiment is 'bearish' because the OPEC+ decision to stick to its oil supply plan despite President Trump's calls for a price cut suggests that the cartel is not willing to increase production to curb rising prices, which could lead to further upward pressure on oil prices, potentially weighing on economic growth and consumer spending.</t>
  </si>
  <si>
    <t>Trump Tariff News, Feb. 3, 2025: U.S. Strikes Deals to Pause Tariffs on Canada, Mexico â€” Live News, Analysis - WSJ</t>
  </si>
  <si>
    <t>https://news.google.com/rss/articles/CBMijgFBVV95cUxOSUNfMUNGQ0lZOHRjeEV3aVdJRUJfMVVoU0REVDBzZ1gwQmt1LTcwSmUxbVUxdWhHTW9Cd2YtZ2JUM3ZBSzVjejJvT2RhQlRzbVpQVTBIWVBSazFOV2RPakd6MzZBcU16OXQ2RmY3U2tMSnJTd0E3Uk1HTkg2X3JOQ3pxZUFNZU42VmRyTktn?oc=5</t>
  </si>
  <si>
    <t>The sentiment is 'bullish' because the removal of tariffs on Canada and Mexico is likely to boost trade and economic growth, which would be supportive of oil demand and prices, as the reduced trade tensions can lead to increased economic activity and energy consumption.</t>
  </si>
  <si>
    <t>No Margin of Error' For Oil Companies: CIBC's Babin</t>
  </si>
  <si>
    <t>https://www.google.com/url?sa=t&amp;rct=j&amp;q=&amp;esrc=s&amp;source=newssearch&amp;cd=&amp;cad=rja&amp;uact=8&amp;ved=2ahUKEwiljOiry5GMAxVS1jQHHdJPHv04MhDF9AEoAHoECAwQAQ&amp;url=https%3A%2F%2Fwww.bloomberg.com%2Fnews%2Fvideos%2F2025-01-31%2F-no-margin-of-error-for-oil-companies-cibc-s-rabin-video&amp;usg=AOvVaw2AlBrRXRqZa6dwQKrhRsLt&amp;opi=89978449</t>
  </si>
  <si>
    <t>The sentiment is 'bearish' because the phrase "No Margin of Error" implies that oil companies are facing significant challenges and have little room for mistakes, suggesting a pessimistic outlook for their performance and prospects.</t>
  </si>
  <si>
    <t>Oil ticks up after hours on possibility of lower US tariff on Canadian oil</t>
  </si>
  <si>
    <t>https://www.reuters.com/markets/commodities/oil-prices-rise-amid-us-tariff-threat-still-set-weekly-loss-2025-01-31/</t>
  </si>
  <si>
    <t>The sentiment is 'bullish' because the possibility of a lower US tariff on Canadian oil suggests increased demand and trade flows, which would support higher oil prices.</t>
  </si>
  <si>
    <t>US tariff threat limits oil prices</t>
  </si>
  <si>
    <t>https://www.reuters.com/markets/commodities/oil-steady-markets-await-clarity-tariffs-by-trump-canada-mexico-2025-01-30/</t>
  </si>
  <si>
    <t>The sentiment is 'bearish' because the threat of US tariffs can lead to a decline in global trade and economic activity, which in turn can reduce demand for oil and put downward pressure on oil prices.</t>
  </si>
  <si>
    <t>Oil Advances as Trumpâ€™s Tariff Threats Unsettle Global Market</t>
  </si>
  <si>
    <t>https://www.google.com/url?sa=t&amp;rct=j&amp;q=&amp;esrc=s&amp;source=newssearch&amp;cd=&amp;cad=rja&amp;uact=8&amp;ved=2ahUKEwiljOiry5GMAxVS1jQHHdJPHv04MhDF9AEoAHoECBMQAQ&amp;url=https%3A%2F%2Fwww.bloomberg.com%2Fnews%2Farticles%2F2025-01-30%2Flatest-oil-market-news-and-analysis-for-jan-31&amp;usg=AOvVaw2uML6aFOSHZGH85ygS3_tV&amp;opi=89978449</t>
  </si>
  <si>
    <t>The sentiment is 'bullish' because the headline suggests that oil prices are rising, which is a positive development for oil producers and investors, despite the broader market uncertainty caused by Trump's tariff threats.</t>
  </si>
  <si>
    <t>Wall Street Banks Raise Oil-Price Forecast Amid U.S. Policy Uncertainty - WSJ</t>
  </si>
  <si>
    <t>https://www.wsj.com/business/energy-oil/wall-street-banks-raise-oil-price-forecast-amid-u-s-policy-uncertainty-2e72128f</t>
  </si>
  <si>
    <t>The sentiment is 'bullish' because the headline implies that Wall Street banks are expecting higher oil prices due to uncertainty around U.S. policy, which suggests that they believe oil prices will rise in response to potential supply disruptions or other market-moving events.</t>
  </si>
  <si>
    <t>Oil Advances After Trump Confirms Tariffs Will Apply to Crude</t>
  </si>
  <si>
    <t>https://www.google.com/url?sa=t&amp;rct=j&amp;q=&amp;esrc=s&amp;source=newssearch&amp;cd=&amp;cad=rja&amp;uact=8&amp;ved=2ahUKEwjp6pudn5WMAxUnT2wGHUqjCM8QxfQBKAB6BAgKEAE&amp;url=https%3A%2F%2Fwww.bnnbloomberg.ca%2Fmarkets%2Foil%2F2025%2F01%2F31%2Foil-swings-as-traders-await-trump-decision-on-canada-oil-tariffs%2F&amp;usg=AOvVaw1--zpiCDZDQv9cr7f5VskT&amp;opi=89978449</t>
  </si>
  <si>
    <t>The sentiment is 'bullish' because the application of tariffs to crude oil imports is likely to reduce supply and increase prices, benefiting oil producers and leading to a positive outlook for the oil market.</t>
  </si>
  <si>
    <t>Oil Edges Higher With Traders in Limbo Over US Trade Policies</t>
  </si>
  <si>
    <t>https://www.google.com/url?sa=t&amp;rct=j&amp;q=&amp;esrc=s&amp;source=newssearch&amp;cd=&amp;cad=rja&amp;uact=8&amp;ved=2ahUKEwiljOiry5GMAxVS1jQHHdJPHv04MhDF9AEoAHoECA0QAQ&amp;url=https%3A%2F%2Fwww.bloomberg.com%2Fnews%2Farticles%2F2025-01-29%2Flatest-oil-market-news-and-analysis-for-january-30&amp;usg=AOvVaw3cjpR3sEMYUWqugn7nPokH&amp;opi=89978449</t>
  </si>
  <si>
    <t>The sentiment is 'neutral/uncertain' because the headline suggests that oil prices are moving higher, but the underlying driver is uncertainty around US trade policies, implying that the market is caught in a state of flux and lacks a clear directional bias.</t>
  </si>
  <si>
    <t>Oil prices settle down as US stockpile grows, tariffs still in focus - Reuters</t>
  </si>
  <si>
    <t>https://news.google.com/rss/articles/CBMirwFBVV95cUxQc2hpZUdUbnRmdFRSRnVRZDVsNXg0OUpxdkpXS25lYk5pTE1DNlZjRjBxVFloZ25NTENKNU0zVm4ybXAzckZJSkJhZGQ5Mi1lcVBHbV93N3RPSjFSZFFlYkE4UGpIUXk2YlUyNDJPLTB0cG1YOEdWLVRldGFDRDdyOFppQUZHWDdwOTBQWGY0QVRTTURtTEdGd2lUc09OempSeG1wZkNjaW9MZmIwVFhz?oc=5</t>
  </si>
  <si>
    <t>The sentiment is 'bearish' because the growth of US stockpiles, as mentioned in the headline, typically puts downward pressure on oil prices, suggesting a negative outlook for the market.</t>
  </si>
  <si>
    <t>Oil Prices: OPEC+ Will Buckle Under Trump's Pressure</t>
  </si>
  <si>
    <t>https://www.google.com/url?sa=t&amp;rct=j&amp;q=&amp;esrc=s&amp;source=newssearch&amp;cd=&amp;cad=rja&amp;uact=8&amp;ved=2ahUKEwi1wtSuzJGMAxXFrVYBHTwtKUg4PBDF9AEoAHoECBAQAQ&amp;url=https%3A%2F%2Fwww.bloomberg.com%2Fopinion%2Farticles%2F2025-01-29%2Foil-prices-opec-will-buckle-under-trump-s-pressure&amp;usg=AOvVaw0JlM2Y1zlKCaTznsaF0CFt&amp;opi=89978449</t>
  </si>
  <si>
    <t>The sentiment is 'bearish' because the headline suggests that OPEC+ will be forced to increase production, which would lead to a surge in global supply and downward pressure on oil prices.</t>
  </si>
  <si>
    <t>Oil prices settle down as US stockpile grows, tariffs still in focus</t>
  </si>
  <si>
    <t>https://www.reuters.com/markets/commodities/oil-prices-steady-investors-weigh-impact-trump-tariffs-2025-01-29/</t>
  </si>
  <si>
    <t>The sentiment is 'bearish' because the growth in US stockpiles suggests an oversupply in the market, which typically puts downward pressure on oil prices, outweighing any potential bullish impact from tariffs.</t>
  </si>
  <si>
    <t>U.S. Crude Inventory Build Ends Nine Consecutive Weeks of Inventory Draws - WTI Crude Oil 1/29/25</t>
  </si>
  <si>
    <t>https://www.barchart.com/story/news/30673284/u-s-crude-inventory-build-ends-nine-consecutive-weeks-of-inventory-draws-wti-crude-oil-1-29-25</t>
  </si>
  <si>
    <t>The sentiment is 'bearish' because a build in U.S. crude inventory, following a streak of nine consecutive weeks of inventory draws, suggests a potential shift towards a more balanced or even oversupplied market, which could lead to downward pressure on oil prices.</t>
  </si>
  <si>
    <t>Oil Holds Biggest Gain in Two Weeks as Tariff Threats Dominate - Bloomberg.com</t>
  </si>
  <si>
    <t>https://news.google.com/rss/articles/CBMiswFBVV95cUxQcTJVZmk1dlEwdGdtdTVSV2xWR2MyNzJ6UGxkUi03Uno3OXRTMExBSVhZSUdrbjFwRG1lUTB6UldGUi1VZ1JUSUdtY2VoMDJFU3RBV3lrZVR2RWgycHpWZlh1d0plaG5ZUE5nQWVUVnhZdTEtN3NaMDZDMmFIcmxIRjlDbURUSHlpWDU0VGVGWUt0R0NBclF5bFFzYzk3OEZ1OFdpdDZyQlZWT1gxZXdsS3pDSQ?oc=5</t>
  </si>
  <si>
    <t>The sentiment is 'bullish' because the headline suggests that oil prices have made a significant gain, which is a positive development, and the context of tariff threats implies that the market is shrugging off or even benefiting from the uncertainty, leading to a more optimistic outlook.</t>
  </si>
  <si>
    <t>Oil Set for First Weekly Drop This Year as Trump Rattles Market</t>
  </si>
  <si>
    <t>https://www.google.com/url?sa=t&amp;rct=j&amp;q=&amp;esrc=s&amp;source=newssearch&amp;cd=&amp;cad=rja&amp;uact=8&amp;ved=2ahUKEwi1wtSuzJGMAxXFrVYBHTwtKUg4PBDF9AEoAHoECA0QAQ&amp;url=https%3A%2F%2Fwww.bloomberg.com%2Fnews%2Farticles%2F2025-01-23%2Flatest-oil-market-news-and-analysis-for-january-24&amp;usg=AOvVaw0IVHHQOjRMquuiD2GHZRvK&amp;opi=89978449</t>
  </si>
  <si>
    <t>The sentiment is 'bearish' because the headline suggests that Trump's comments have caused market uncertainty, leading to a decline in oil prices and a potential first weekly drop of the year, indicating a negative outlook for the oil market.</t>
  </si>
  <si>
    <t>Oil prices rebound from multi-week lows as investors brace for Trump tariffs - Reuters</t>
  </si>
  <si>
    <t>https://news.google.com/rss/articles/CBMixAFBVV95cUxQR2tYZk1zb3RCMUJNRTRfRjJncnVXZk9XM0R0cmd0WUtxSndyZXNpYW11S0xXTHlzLUtlelFtay1WSW9lblJtMUx3RTRWblBJeTJUSGpKMVNvS2d1eUc1ZnJWS0NZNnE3VTU5LWZHaUR6SmdUNmlrSXpUTFJzTGN4S3E2djItbEFNRnNZN2hmdWdXa01Mam16UWFYdlBNRXh0akk2RFZOeS1qa3dTNFRUWXU0dll3cnRDSklwQUxTaUNQeDVs?oc=5</t>
  </si>
  <si>
    <t>The sentiment is 'bullish' because the headline suggests that oil prices are recovering from recent lows, indicating a potential turnaround in the market, which is typically a positive sign for investors and traders.</t>
  </si>
  <si>
    <t>Gunvorâ€™s Global Head of Crude Trading Roulon Leaves Company</t>
  </si>
  <si>
    <t>https://www.bloomberg.com/news/articles/2025-01-28/gunvor-s-global-head-of-crude-trading-roulon-leaves-company</t>
  </si>
  <si>
    <t>The sentiment is 'unrelated' because the departure of a single executive, even a high-ranking one like the Global Head of Crude Trading, is unlikely to have a significant impact on the broader oil market or prices, unless there are underlying issues at Gunvor that are not immediately apparent.</t>
  </si>
  <si>
    <t>Oil hits 2-week low as China's DeepSeek AI spurs demand fears</t>
  </si>
  <si>
    <t>https://www.reuters.com/business/energy/oil-slips-trump-repeats-call-opec-reduce-prices-2025-01-27/</t>
  </si>
  <si>
    <t>The sentiment is 'bearish' because the emergence of China's DeepSeek AI potentially disrupting demand patterns, coupled with the downward price movement to a 2-week low, suggests a negative outlook for oil prices in the short term.</t>
  </si>
  <si>
    <t>Oil fluctuates as Trumpâ€™s rapid-fire trade moves rattle market</t>
  </si>
  <si>
    <t>https://www.moneyweb.co.za/news/markets/oil-fluctuates-as-trumps-rapid-fire-trade-moves-rattle-market/</t>
  </si>
  <si>
    <t>The sentiment is 'bearish' because the headline suggests that Trump's rapid-fire trade moves are causing uncertainty and volatility in the market, which is likely to lead to a decrease in oil prices as investors become risk-averse and seek safer assets.</t>
  </si>
  <si>
    <t>Aramco Secures First US Crude Cargo, Shaping Brent Oil Market</t>
  </si>
  <si>
    <t>https://egyptoil-gas.com/news/aramco-secures-first-us-crude-cargo-shaping-brent-oil-market/</t>
  </si>
  <si>
    <t>The sentiment is 'bullish' because the article suggests that Aramco's securing of its first US crude cargo will increase its influence in the global oil market, potentially leading to higher prices and a more favorable outlook for oil producers.</t>
  </si>
  <si>
    <t>Nigeriaâ€™s plan to boost delta drilling sparks anger</t>
  </si>
  <si>
    <t>https://www.ft.com/content/39ef75ff-8abd-4bbd-935d-e3e7afb008b1</t>
  </si>
  <si>
    <t>The sentiment is not 'bullish' because the article's focus on "anger" sparked by Nigeria's plan to increase drilling in the delta region suggests that the move may be met with opposition or controversy, which could ultimately hinder or delay the implementation of the plan, rather than being a unequivocally positive development for the oil industry.</t>
  </si>
  <si>
    <t>Oil prices settle pennies higher, down for week as Trump touts energy policy</t>
  </si>
  <si>
    <t>https://www.reuters.com/markets/commodities/oil-falls-prospect-trump-pushing-up-crude-supplies-2025-01-24/</t>
  </si>
  <si>
    <t>The sentiment is 'bearish' because the headline suggests that oil prices fell over the week, despite a short-term increase, implying a negative trend in the market.</t>
  </si>
  <si>
    <t>JPMorganâ€™s Kaneva Sees $75 as Fair Value for Brent Crude</t>
  </si>
  <si>
    <t>https://www.bloomberg.com/news/videos/2025-01-23/jpmorgan-s-kaneva-sees-75-as-fair-price-for-brent-crude-video</t>
  </si>
  <si>
    <t>The sentiment is 'bullish' because a fair value target of $75 per barrel for Brent crude, which is higher than the current market price, implies that the analyst expects the price to rise in the near future.</t>
  </si>
  <si>
    <t>Watch Trump Urges OPEC to Lower Oil Price in Davos Address</t>
  </si>
  <si>
    <t>https://www.google.com/url?sa=t&amp;rct=j&amp;q=&amp;esrc=s&amp;source=newssearch&amp;cd=&amp;cad=rja&amp;uact=8&amp;ved=2ahUKEwi1wtSuzJGMAxXFrVYBHTwtKUg4PBDF9AEoAHoECBMQAQ&amp;url=https%3A%2F%2Fwww.bloomberg.com%2Fnews%2Fvideos%2F2025-01-23%2Ftrump-urges-opec-to-lower-oil-price-in-davos-address-video&amp;usg=AOvVaw3LOGONmTOzzcKdJl1WrPuh&amp;opi=89978449</t>
  </si>
  <si>
    <t>The sentiment is 'bearish' because Trump's call for OPEC to lower oil prices suggests that he is seeking to reduce oil prices, which would negatively impact oil producers and bullish investors who have been betting on higher prices.</t>
  </si>
  <si>
    <t>Will the Dog That Barked in the Nighttime Also Bite?</t>
  </si>
  <si>
    <t>https://www.bloomberg.com/opinion/articles/2025-01-24/will-the-dog-that-barked-in-the-nighttime-also-bite</t>
  </si>
  <si>
    <t>The sentiment is 'unrelated' because the headline appears to be a play on the famous Sherlock Holmes quote "the dog that did not bark in the nighttime" and does not contain any information or reference to the oil market, making it unrelated to the field of oil market analysis.</t>
  </si>
  <si>
    <t>Saudi Aramco buys first cargo of US crude that helps set Brent benchmark</t>
  </si>
  <si>
    <t>https://www.reuters.com/business/energy/saudi-aramco-buys-first-cargo-us-crude-that-helps-set-brent-benchmark-2025-01-22/</t>
  </si>
  <si>
    <t>The sentiment is 'bullish' because Saudi Aramco's purchase of US crude that helps set the Brent benchmark suggests increased demand for US oil, which could lead to higher prices and a tighter global supply balance, ultimately benefiting oil producers and supporting a bullish market outlook.</t>
  </si>
  <si>
    <t>Trump Browbeats Davos Elite to Curb Oil Prices, Interest Rates</t>
  </si>
  <si>
    <t>https://www.bloomberg.com/news/articles/2025-01-23/trump-urges-opec-to-lower-oil-prices-warns-of-tariffs-at-davos</t>
  </si>
  <si>
    <t>The sentiment is 'bullish' because the headline suggests that Trump is pushing for lower oil prices and interest rates, which would be beneficial for economic growth, consumer spending, and potentially boost demand for oil, ultimately supporting oil prices.</t>
  </si>
  <si>
    <t>Tanker Rates on Key Route Slump as Sanctions-Driven Rally Cools</t>
  </si>
  <si>
    <t>https://www.bloomberg.com/news/articles/2025-01-24/tanker-rates-on-key-route-slump-as-sanctions-driven-rally-cools</t>
  </si>
  <si>
    <t>The sentiment is 'bearish' because the headline suggests that the tanker rates, which had previously surged due to sanctions, are now declining, indicating a loss of momentum and a potential downturn in the market.</t>
  </si>
  <si>
    <t>Davos 2025: India's Biggest Refiner to Rebalance Crude Oil Buying After US Sanctions on Russia</t>
  </si>
  <si>
    <t>https://www.bloomberg.com/news/videos/2025-01-23/indian-oil-to-rebalance-crude-buying-video</t>
  </si>
  <si>
    <t>The sentiment is 'bullish' because India's largest refiner's decision to rebalance its crude oil buying away from Russian oil and towards other sources suggests that the company is adapting to the new sanctions landscape, which could lead to increased demand for non-Russian oil and potentially higher prices.</t>
  </si>
  <si>
    <t>Oil falls as Trump urges OPEC to lower prices</t>
  </si>
  <si>
    <t>https://www.reuters.com/markets/commodities/oil-prices-extend-losses-uncertainty-over-trump-tariff-impact-2025-01-23/</t>
  </si>
  <si>
    <t>The sentiment is 'bearish' because Trump's urging of OPEC to lower prices implies an increase in oil supply, which would put downward pressure on prices, negatively impacting oil producers and the overall market.</t>
  </si>
  <si>
    <t>Oil Declines After Trump Says Heâ€™ll Push OPEC to Lower Prices - Bloomberg.com</t>
  </si>
  <si>
    <t>https://news.google.com/rss/articles/CBMiowFBVV95cUxNbkVzQzdWcDZqNjRudFlnQWNjR3paRU5ndlZ3bVh1SnNNazNpaFl2ZDR6WmZWem1pYWFjUHpSWllmRjUzS0RhQkRrZFljT1RGN0U1VWV3VTJoSkpWb1pLWHkxbjFYM21iYUxXSXhNMXhSQ2tOal9ORlJJdTBzaVdoa09WRzB0cklIM3Jya3oydzdoaU5JV1RLcmJGUjBRR0IyQ0dF?oc=5</t>
  </si>
  <si>
    <t>The sentiment is 'bearish' because the headline implies that the President's actions could lead to increased oil supply from OPEC, which would put downward pressure on oil prices.</t>
  </si>
  <si>
    <t>Oil Declines After Trump Says Heâ€™ll Push OPEC to Lower Prices</t>
  </si>
  <si>
    <t>https://www.google.com/url?sa=t&amp;rct=j&amp;q=&amp;esrc=s&amp;source=newssearch&amp;cd=&amp;cad=rja&amp;uact=8&amp;ved=2ahUKEwi1wtSuzJGMAxXFrVYBHTwtKUg4PBDF9AEoAHoECAkQAQ&amp;url=https%3A%2F%2Fwww.bloomberg.com%2Fnews%2Farticles%2F2025-01-22%2Flatest-oil-market-news-and-analysis-for-january-23&amp;usg=AOvVaw2qc_43rOYcg98RqLUJfL4f&amp;opi=89978449</t>
  </si>
  <si>
    <t>The sentiment is 'bearish' because Trump's statement implies that he will exert pressure on OPEC to increase production, which would lead to a surge in global oil supply and consequently put downward pressure on prices.</t>
  </si>
  <si>
    <t>Stocks Rise as Trumpâ€™s Remarks Spur Slide in Oil: Markets Wrap</t>
  </si>
  <si>
    <t>https://www.google.com/url?sa=t&amp;rct=j&amp;q=&amp;esrc=s&amp;source=newssearch&amp;cd=&amp;cad=rja&amp;uact=8&amp;ved=2ahUKEwjw7vznqpWMAxX2SGcHHcwsBqU4PBDF9AEoAHoECAgQAQ&amp;url=https%3A%2F%2Fwww.bloomberg.com%2Fnews%2Farticles%2F2025-01-22%2Fstock-market-today-dow-s-p-live-updates&amp;usg=AOvVaw0yq4Tou-BOkpEX6ivgZn0K&amp;opi=89978449</t>
  </si>
  <si>
    <t>The sentiment is not 'bullish' because while the headline mentions "Stocks Rise", which is a positive indication, the simultaneous "Slide in Oil" could imply a negative outlook for the oil industry, which might not be entirely favorable for the overall market.</t>
  </si>
  <si>
    <t>What to Expect From Australiaâ€™s Economy in 2025</t>
  </si>
  <si>
    <t>https://www.bloomberg.com/news/articles/2025-01-23/an-economist-s-view-on-the-year-ahead-bloomberg-australia-podcast</t>
  </si>
  <si>
    <t>The sentiment is 'unrelated' because the headline focuses on Australia's economy in general, without mentioning oil markets or any related topics that would be relevant to an oil market analyst.</t>
  </si>
  <si>
    <t>Watch India Open to Buying More US Oil; Trump AI Pact | Bloomberg The Pulse</t>
  </si>
  <si>
    <t>https://www.google.com/url?sa=t&amp;rct=j&amp;q=&amp;esrc=s&amp;source=newssearch&amp;cd=&amp;cad=rja&amp;uact=8&amp;ved=2ahUKEwjCztrjq5WMAxV_TWwGHaQaFnY4RhDF9AEoAHoECA8QAQ&amp;url=https%3A%2F%2Fwww.bloomberg.com%2Fnews%2Fvideos%2F2025-01-22%2Ftrump-policies-dominate-davos-the-pulse-01-22-video&amp;usg=AOvVaw33wTF8uR_6BxpMA9pJ3S0O&amp;opi=89978449</t>
  </si>
  <si>
    <t>The sentiment is 'bullish' because India's willingness to buy more US oil and a potential AI pact with the Trump administration suggests increased demand for US oil, which could lead to higher prices and benefit US oil producers.</t>
  </si>
  <si>
    <t>Indian Oil to Rebalance Crude Buying After Russia Sanctions</t>
  </si>
  <si>
    <t>https://www.bloomberg.com/news/articles/2025-01-22/indian-oil-to-rebalance-crude-buying-after-russia-sanctions</t>
  </si>
  <si>
    <t>The sentiment is 'bearish' because the headline suggests that Indian Oil, a major refiner, may need to reduce its crude imports from Russia due to sanctions, which could lead to tighter global supplies and upward price pressure, negatively impacting the oil market.</t>
  </si>
  <si>
    <t>Oil Slips as Trump Signals Canada Tariffs, Domestic Energy Push</t>
  </si>
  <si>
    <t>https://www.bloomberg.com/news/articles/2025-01-20/latest-oil-market-news-and-analysis-for-jan-21</t>
  </si>
  <si>
    <t>The sentiment is 'bearish' because the headline suggests that Trump's tariffs on Canada and push for domestic energy production could lead to increased supply and reduced demand, respectively, which would put downward pressure on oil prices.</t>
  </si>
  <si>
    <t>Russian Oil Flows Stall as US Sanctions Start to Buffet Tankers</t>
  </si>
  <si>
    <t>https://www.bloomberg.com/news/articles/2025-01-21/russia-s-oil-exports-show-the-first-signs-of-being-hit-by-us-sanctions</t>
  </si>
  <si>
    <t>The sentiment is 'bearish' because the stalling of Russian oil flows due to US sanctions implies a potential reduction in global oil supply, which could lead to upward pressure on prices, making it a bearish signal for oil consumers and potentially the broader market.</t>
  </si>
  <si>
    <t>Oil falls as Trump's plan to boost US oil output takes shape</t>
  </si>
  <si>
    <t>https://www.reuters.com/business/energy/us-crude-futures-down-1-barrel-trump-plan-boost-fossil-fuel-output-2025-01-20/</t>
  </si>
  <si>
    <t>The sentiment is 'bearish' because an increase in US oil output would likely lead to a surge in global supply, putting downward pressure on oil prices, which is typically viewed as a negative development for the oil market.</t>
  </si>
  <si>
    <t>Oil steadies near $81 as market braces for second Trump term</t>
  </si>
  <si>
    <t>https://www.moneyweb.co.za/news/markets/oil-steadies-near-81-as-market-braces-for-second-trump-term/</t>
  </si>
  <si>
    <t>The sentiment is 'bullish' because a second Trump term is perceived as likely to maintain or even increase support for the US oil industry, potentially leading to increased production and investment, which could underpin prices.</t>
  </si>
  <si>
    <t>Oil Tankers Backlog Grows at Vital Russian Port After Sanctions</t>
  </si>
  <si>
    <t>https://www.bloomberg.com/news/articles/2025-01-20/oil-tankers-backlog-grows-at-vital-russian-port-after-sanctions</t>
  </si>
  <si>
    <t>The sentiment is not 'bullish' because a backlog of oil tankers at a vital Russian port due to sanctions would likely indicate reduced crude oil exports and potential supply disruptions, which would normally be seen as bearish for oil prices.</t>
  </si>
  <si>
    <t>Oil dips as market awaits Trump's executive orders on energy</t>
  </si>
  <si>
    <t>https://www.reuters.com/business/energy/oil-prices-climb-supply-concerns-over-russian-sanctions-persist-2025-01-20/</t>
  </si>
  <si>
    <t>The sentiment is 'bearish' because the uncertainty and potential disruption caused by Trump's executive orders on energy may lead to a decrease in oil prices as the market awaits clarity on the impact of these orders on supply and demand dynamics.</t>
  </si>
  <si>
    <t>Oil Edges Higher as Market Braces for Second Trump Presidency</t>
  </si>
  <si>
    <t>https://www.google.com/url?sa=t&amp;rct=j&amp;q=&amp;esrc=s&amp;source=newssearch&amp;cd=&amp;ved=2ahUKEwialZGbuJeMAxVHTGwGHb1YLbk4HhDF9AEoAHoECBMQAQ&amp;url=https%3A%2F%2Fwww.bloomberg.com%2Fnews%2Farticles%2F2025-01-19%2Flatest-oil-market-news-and-analysis-for-jan-20&amp;usg=AOvVaw1u3CkLWR1Ps0rYAkw9tMRD&amp;opi=89978449</t>
  </si>
  <si>
    <t>The sentiment is 'bullish' because the expectation of a Trump presidency is likely to lead to increased oil demand and prices, as Trump's policies have historically been seen as supportive of the fossil fuel industry and likely to boost economic growth.</t>
  </si>
  <si>
    <t>Anxious Australian Retirees Arenâ€™t Spending Their Pensions</t>
  </si>
  <si>
    <t>https://www.bloomberg.com/news/articles/2025-01-19/anxious-australian-retirees-aren-t-spending-their-pensions</t>
  </si>
  <si>
    <t>The sentiment is 'bearish' because a decrease in consumer spending, particularly among retirees who are typically a significant demographic in terms of discretionary income, can have a ripple effect on the broader economy, leading to reduced demand for goods and services, including energy products.</t>
  </si>
  <si>
    <t>Oil prices dip but post 4th straight weekly gain on US sanctions - Reuters</t>
  </si>
  <si>
    <t>https://news.google.com/rss/articles/CBMipwFBVV95cUxPMjAxTUJqaGQzZVJSeE1GMXQxQWJFX0QzOE56SGI3UElocmxCN0R0UTFtOHFxMnE5WFAzY1FOLUp1anFkSl9rbDRva1A5M0EwQ05seTZBM3NRTlluSXFUckhtaVRNSzVFUmV1YUVzcnRXR2lOZ3ZpSFNSQ1EzWE0xRm9GYzhLRFJhTlNaYlEya2MtV1ktcFVlUWRkNDZKa0R1ZDJwQk1tRQ?oc=5</t>
  </si>
  <si>
    <t>The sentiment is 'bullish' because despite a dip in oil prices, the market still managed to post its fourth consecutive weekly gain, suggesting that the underlying momentum remains positive, driven in part by the impact of US sanctions on global supply.</t>
  </si>
  <si>
    <t>Oil Heads for Fourth Weekly Advance as Sanctions Threaten Supply</t>
  </si>
  <si>
    <t>https://www.bloomberg.com/news/articles/2025-01-16/latest-oil-market-news-and-analysis-for-jan-17</t>
  </si>
  <si>
    <t>The sentiment is 'bullish' because the headline suggests that oil prices are rising due to threatened supply disruptions from sanctions, implying a possible supply shortage and therefore higher prices, which would be beneficial for oil producers and bullish for the market.</t>
  </si>
  <si>
    <t>Oil settles lower on expected halt to Houthi shipping attacks</t>
  </si>
  <si>
    <t>https://www.reuters.com/markets/commodities/oil-rises-us-inventory-declines-heighten-supply-concerns-2025-01-16/</t>
  </si>
  <si>
    <t>The sentiment is 'bearish' because the expected halt to Houthi shipping attacks implies a reduction in geopolitical risks, which could lead to increased oil supplies and downward pressure on prices.</t>
  </si>
  <si>
    <t>Trump Expected to Tap Jones Day Lawyer to Lead Civil Division</t>
  </si>
  <si>
    <t>https://news.bloomberglaw.com/ip-law/trump-expected-to-tap-jones-day-lawyer-to-lead-civil-division</t>
  </si>
  <si>
    <t>The sentiment is 'unrelated' because the headline about Trump's expected appointment of a lawyer to lead the Civil Division has no discernible connection to the oil market, and therefore does not convey any emotional tone or relevance to the oil market sector.</t>
  </si>
  <si>
    <t>Cost to Ship Russian ESPO Oil to China Triples After Sanctions</t>
  </si>
  <si>
    <t>https://www.bloomberg.com/news/articles/2025-01-16/cost-to-ship-russian-espo-oil-to-china-triples-after-sanctions</t>
  </si>
  <si>
    <t>The sentiment is not 'bullish' because the headline suggests that the cost to ship Russian ESPO oil to China has tripled due to sanctions, which implies a decrease in the supply of Russian oil to China, leading to tighter global oil markets and potentially higher oil prices, which would be bearish for consumers and the economy, not bullish.</t>
  </si>
  <si>
    <t>Gambling Giant Star on the Brink of Collapse as Cash Runs Out</t>
  </si>
  <si>
    <t>https://www.bloomberg.com/news/articles/2025-01-16/gambling-giant-star-on-the-brink-of-collapse-as-cash-runs-out</t>
  </si>
  <si>
    <t>The sentiment is 'unrelated' because the headline is about a gambling company's financial woes, which has no direct impact on the oil market, and therefore, it is not relevant to my area of expertise as an oil market analyst.</t>
  </si>
  <si>
    <t>Watch Lower Geopol Risks, Higher Oil Prices Positive Start for MENA</t>
  </si>
  <si>
    <t>https://www.bloomberg.com/news/videos/2025-01-16/lower-geopol-risks-higher-oil-positive-start-for-mena-video</t>
  </si>
  <si>
    <t>The sentiment is 'bullish' because the headline suggests that a decrease in geopolitical risks and an increase in oil prices would have a positive impact on the Middle East and North Africa (MENA) region, which is a significant oil-producing region, implying a favorable outlook for the oil market.</t>
  </si>
  <si>
    <t>Why Latest US Sanctions on Russian Oil Are a Big Deal</t>
  </si>
  <si>
    <t>https://www.bloomberg.com/news/articles/2025-01-16/oil-sanctions-why-biden-s-departing-shot-at-russia-s-crude-exports-is-important</t>
  </si>
  <si>
    <t>The sentiment is 'bullish' because the latest US sanctions on Russian oil are likely to tighten global oil supplies, leading to higher prices and benefiting oil producers and exporters, which could boost the overall oil market.</t>
  </si>
  <si>
    <t>The Definitive Guide to Where the US Has Squeezed Russiaâ€™s Oil Flows the Hardest</t>
  </si>
  <si>
    <t>https://www.bloomberg.com/news/articles/2025-01-16/the-definitive-guide-to-where-the-us-has-squeezed-russia-s-oil-flows-the-hardest</t>
  </si>
  <si>
    <t>The sentiment is 'bullish' because the headline suggests that the US has successfully disrupted Russia's oil flows, implying a potential reduction in global oil supply and a resulting increase in oil prices, which would be beneficial to oil producers and bullish for the oil market.</t>
  </si>
  <si>
    <t>Russian Fuel Exports Jumped Before US Imposed New Sanctions</t>
  </si>
  <si>
    <t>https://www.bloomberg.com/news/articles/2025-01-16/russian-fuel-exports-jumped-before-us-imposed-new-sanctions</t>
  </si>
  <si>
    <t>The sentiment is 'bullish' because the jump in Russian fuel exports before the imposition of new US sanctions suggests that the market was able to absorb the increased supply, which could lead to higher revenues for oil companies and potentially support oil prices.</t>
  </si>
  <si>
    <t>Oil prices slip on US energy demand forecast</t>
  </si>
  <si>
    <t>https://www.businesstimes.com.sg/companies-markets/energy-commodities/oil-prices-slip-us-energy-demand-forecast</t>
  </si>
  <si>
    <t>The sentiment is 'bearish' because the headline suggests that a decline in US energy demand is expected, which would lead to reduced oil consumption and potentially lower oil prices, thus exerting downward pressure on the market.</t>
  </si>
  <si>
    <t>OPEC Sees Steady Oil Demand Growth in First Look at 2026</t>
  </si>
  <si>
    <t>https://www.bloomberg.com/news/articles/2025-01-15/opec-sees-steady-oil-demand-growth-in-first-look-at-2026</t>
  </si>
  <si>
    <t>The sentiment is 'bullish' because OPEC's forecast of steady oil demand growth in 2026 suggests a continued healthy appetite for oil, which is likely to support prices and benefit oil producers, thereby warranting a positive outlook.</t>
  </si>
  <si>
    <t>Oil rallies, settles at multi-month high on US crude draw, Russia sanctions</t>
  </si>
  <si>
    <t>https://www.reuters.com/business/energy/oil-little-changed-falling-us-stockpiles-outweigh-soft-demand-outlook-2025-01-15/</t>
  </si>
  <si>
    <t>The sentiment is 'bullish' because the headline suggests that oil prices have risen to a multi-month high due to a combination of a decline in US crude inventories and potential supply disruptions from Russia sanctions, implying a tightening of the market balance and upward pressure on prices.</t>
  </si>
  <si>
    <t>Oil steady as sanctions angst and lower stockpiles set the tone</t>
  </si>
  <si>
    <t>https://www.moneyweb.co.za/news/markets/oil-steady-as-sanctions-angst-and-lower-stockpiles-set-the-tone/</t>
  </si>
  <si>
    <t>The sentiment is 'neutral/uncertain' because the headline highlights the opposing forces of sanctions angst, which could drive prices up, and lower stockpiles, which could drive prices down, creating a sense of balance and uncertainty in the market.</t>
  </si>
  <si>
    <t>India Rushes to Pay for Russian Oil Ahead of Sanctions Cutoff</t>
  </si>
  <si>
    <t>https://www.bloomberg.com/news/articles/2025-01-15/india-rushes-to-pay-for-russian-oil-ahead-of-sanctions-cutoff</t>
  </si>
  <si>
    <t>The sentiment is 'bullish' because India's proactive move to pay for Russian oil ahead of sanctions cutoff suggests that the country is committed to maintaining its oil imports, which could help to stabilize the global oil market and support prices.</t>
  </si>
  <si>
    <t>US-Banned Tankers Moved Fifth of Seaborne Russian Oil, IEA Says</t>
  </si>
  <si>
    <t>https://www.bloomberg.com/news/articles/2025-01-15/us-blacklists-fleet-moving-a-fifth-of-seaborne-russian-oil-iea</t>
  </si>
  <si>
    <t>The sentiment is 'bearish' because the headline implies that a significant portion of Russian oil exports were moved by US-banned tankers, suggesting that the global oil market may be more vulnerable to supply disruptions and sanctions-related risks, which could put downward pressure on oil prices.</t>
  </si>
  <si>
    <t>Has China already reached peak oil?</t>
  </si>
  <si>
    <t>https://www.ft.com/content/341f0aaa-7173-454c-89fd-103287625d38</t>
  </si>
  <si>
    <t>The sentiment is 'bearish' because if China, the world's largest oil importer, has already reached peak oil, it implies a significant decline in its oil demand growth, which would lead to a surplus in the global market, putting downward pressure on oil prices.</t>
  </si>
  <si>
    <t>More Russian Oil Stranded Off Chinese Coast After US Sanctions</t>
  </si>
  <si>
    <t>https://www.bloomberg.com/news/articles/2025-01-15/more-russian-oil-stranded-off-chinese-coast-after-us-sanctions</t>
  </si>
  <si>
    <t>The sentiment is not 'bullish' because the headline suggests that Russian oil is being stranded, implying a surplus of oil that cannot be sold or transported, which would put downward pressure on oil prices, making the sentiment bearish rather than bullish.</t>
  </si>
  <si>
    <t>EUâ€™s Top Diplomat Aims to Use Economic Muscle Against Russia</t>
  </si>
  <si>
    <t>https://www.bloomberg.com/news/articles/2025-01-14/eu-foreign-affairs-chief-aims-to-lower-price-cap-on-russian-oil</t>
  </si>
  <si>
    <t>The sentiment is not 'bullish' because the use of economic muscle against Russia, a major oil producer, could lead to retaliation and potentially disrupt global oil supplies, which would be bearish for oil prices.</t>
  </si>
  <si>
    <t>EIA expects oil prices to be under pressure from oversupply in 2025, 2026</t>
  </si>
  <si>
    <t>https://www.reuters.com/business/energy/eia-raises-us-oil-production-forecast-2025-lowers-2024-estimate-2025-01-14/</t>
  </si>
  <si>
    <t>The sentiment is 'bearish' because the expectation of oversupply in 2025 and 2026 implies a surplus of oil in the market, which would put downward pressure on prices, leading to a bearish outlook for oil prices in the mentioned periods.</t>
  </si>
  <si>
    <t>Oil Sanctions Risks Upend Oil Prices in US Gulf Coast Market</t>
  </si>
  <si>
    <t>https://www.google.com/url?sa=t&amp;rct=j&amp;q=&amp;esrc=s&amp;source=newssearch&amp;cd=&amp;cad=rja&amp;uact=8&amp;ved=2ahUKEwith9XbrZWMAxVfUGwGHTjtEHg4UBDF9AEoAHoECBEQAQ&amp;url=https%3A%2F%2Fwww.bloomberg.com%2Fnews%2Farticles%2F2025-01-14%2Fsanctions-risks-upend-oil-prices-in-us-gulf-coast-market&amp;usg=AOvVaw2_kzWJE1j5m5iECSx7cpdZ&amp;opi=89978449</t>
  </si>
  <si>
    <t>The sentiment is not 'bullish' because the headline suggests that oil sanctions risks are disrupting the market, which would typically lead to price volatility and uncertainty, rather than a bullish outlook, which implies a positive and optimistic tone.</t>
  </si>
  <si>
    <t>Oil prices climb 2% to four-month high with sanctions expected to disrupt Russian supplies</t>
  </si>
  <si>
    <t>https://www.businesstimes.com.sg/companies-markets/energy-commodities/oil-prices-climb-2-four-month-high-sanctions-expected-disrupt-russian-supplies</t>
  </si>
  <si>
    <t>The sentiment is 'bullish' because the expected disruptions to Russian supplies due to sanctions are likely to reduce global oil supply, thereby tightening the market and driving prices higher.</t>
  </si>
  <si>
    <t>Chinaâ€™s Mega Refiners Rush for Oil to Avert Sanctions Disruption</t>
  </si>
  <si>
    <t>https://www.bloomberg.com/news/articles/2025-01-14/china-s-mega-refiners-rush-for-oil-to-avert-sanctions-disruption</t>
  </si>
  <si>
    <t>The sentiment is 'bullish' because the headline suggests that China's mega refiners are taking proactive measures to stockpile oil, implying a potential increase in demand and subsequent support for oil prices, which is a positive signal for the market.</t>
  </si>
  <si>
    <t>Russian Crude Shipments Hold Steady Before Sanctions Onslaught</t>
  </si>
  <si>
    <t>https://www.bloomberg.com/news/articles/2025-01-14/russia-s-oil-exports-steady-ahead-of-sanctions-onslaught</t>
  </si>
  <si>
    <t>The sentiment is 'unrelated' because the headline simply reports on a neutral fact - the current state of Russian crude shipments - without expressing a emotional tone or opinion, neither positive nor negative, which is the definition of an unrelated sentiment.</t>
  </si>
  <si>
    <t>Oil Glut Will Expand in 2026 as OPEC Output Rebounds, EIA Says</t>
  </si>
  <si>
    <t>https://www.bloomberg.com/news/articles/2025-01-14/oil-glut-will-expand-in-2026-as-opec-output-rebounds-eia-says</t>
  </si>
  <si>
    <t>The sentiment is 'bearish' because an expansion of the oil glut in 2026, driven by a rebound in OPEC output, implies a surge in supply that will put downward pressure on oil prices.</t>
  </si>
  <si>
    <t>Higher Rates Are Here to Stay, Schutte Says</t>
  </si>
  <si>
    <t>https://www.bloomberg.com/news/videos/2025-01-13/higher-rates-are-here-to-stay-schutte-says</t>
  </si>
  <si>
    <t>The sentiment is 'bearish' because higher interest rates can lead to a stronger US dollar, which in turn can put downward pressure on oil prices, making it a bearish signal for the oil market.</t>
  </si>
  <si>
    <t>U.S. Sanctions Push Oil Prices to Five-Month High</t>
  </si>
  <si>
    <t>https://www.wsj.com/finance/commodities-futures/oil-rises-on-strong-u-s-jobs-data-5a2d9b29</t>
  </si>
  <si>
    <t>The sentiment is 'bullish' because the headline suggests that the sanctions are supporting oil prices by reducing global supply, which is a positive development for oil producers and investors who benefit from higher prices.</t>
  </si>
  <si>
    <t>Oil prices climb 2% to 4-month high with sanctions expected to disrupt Russian supplies</t>
  </si>
  <si>
    <t>https://www.reuters.com/business/energy/oil-hits-more-than-3-month-high-us-sanctions-hit-russia-exports-2025-01-12/</t>
  </si>
  <si>
    <t>The sentiment is 'bullish' because the anticipated disruption to Russian supplies due to sanctions is expected to lead to a reduction in global oil supply, which would put upward pressure on prices.</t>
  </si>
  <si>
    <t>Watch EUâ€™s Kallas â€˜Pushingâ€™ to Lower Price Cap on Russian Oil</t>
  </si>
  <si>
    <t>https://www.bloomberg.com/news/videos/2025-01-14/eu-s-kallas-pushing-to-lower-price-cap-on-russian-oil-video</t>
  </si>
  <si>
    <t>The sentiment is 'bearish' because a lower price cap on Russian oil could lead to increased oil supply in the global market, putting downward pressure on oil prices.</t>
  </si>
  <si>
    <t>Oil Jumps on Fresh U.S. Sanctions Against Russia</t>
  </si>
  <si>
    <t>https://www.wsj.com/business/energy-oil/oil-jumps-on-fresh-u-s-sanctions-against-russia-89a457d0</t>
  </si>
  <si>
    <t>The sentiment is 'bullish' because the implementation of fresh U.S. sanctions against Russia is likely to disrupt oil supplies and tighten the global market, thereby driving up oil prices.</t>
  </si>
  <si>
    <t>10 EU Nations Say Itâ€™s Time to Sanction Russian Natural Gas, LNG</t>
  </si>
  <si>
    <t>https://www.bloomberg.com/news/articles/2025-01-13/10-eu-nations-say-it-s-time-to-sanction-russian-natural-gas-lng</t>
  </si>
  <si>
    <t>The sentiment is not 'bullish' because sanctions on Russian natural gas and LNG would likely lead to tighter global supply, higher prices, and potential shortages, which would be bearish for the market, not bullish.</t>
  </si>
  <si>
    <t>Crude hits 6-month high as new US sanctions trigger global supply fears</t>
  </si>
  <si>
    <t>https://www.ft.com/content/a8ad1129-860b-4db6-9fba-92148f2c61cc</t>
  </si>
  <si>
    <t>The sentiment is 'bullish' because the headline suggests that crude oil prices are rising due to supply fears triggered by new US sanctions, implying that the market is expecting tightening supplies and higher prices.</t>
  </si>
  <si>
    <t>Oil Hits Four-Month High as US Sanctions on Russia Sow Confusion</t>
  </si>
  <si>
    <t>https://www.bloomberg.com/news/articles/2025-01-12/latest-oil-market-news-and-analysis-for-jan-13</t>
  </si>
  <si>
    <t>The sentiment is 'bullish' because the headline suggests that oil prices are rising due to US sanctions on Russia, implying that supply disruptions or potential supply chain issues are driving prices higher, which is a fundamentally bullish development for the oil market.</t>
  </si>
  <si>
    <t>Trump Tariffs Are Coming and Will Include Oil, Alberta Warns</t>
  </si>
  <si>
    <t>https://www.bloomberg.com/news/articles/2025-01-13/alberta-premier-warns-trump-tariffs-coming-including-on-oil</t>
  </si>
  <si>
    <t>The sentiment is 'bearish' because the imposition of tariffs on oil imports would likely increase costs for refineries and consumers, leading to downward pressure on oil demand and subsequently, oil prices.</t>
  </si>
  <si>
    <t>Oil hits four-month high as US sanctions on Russia sow confusion â€“ Bloomberg</t>
  </si>
  <si>
    <t>https://www.google.com/url?sa=t&amp;rct=j&amp;q=&amp;esrc=s&amp;source=newssearch&amp;cd=&amp;ved=2ahUKEwjfnJyGuZeMAxXFTmwGHXmiJo84KBDF9AEoAHoECBEQAQ&amp;url=https%3A%2F%2Fbusinessday.ng%2Fenergy%2Foilandgas%2Farticle%2Foil-hits-four-month-high-as-us-sanctions-on-russia-sow-confusion-bloomberg%2F&amp;usg=AOvVaw3uYUb4HQIDj4jvLpMId7zY&amp;opi=89978449</t>
  </si>
  <si>
    <t>The sentiment is 'bullish' because the headline suggests that oil prices are rising due to US sanctions on Russia, implying that supply disruptions or concerns are driving prices higher, which is typically a bullish signal for oil markets.</t>
  </si>
  <si>
    <t>Bullish Brent Oil Bets at May High Even Before US Sanctions on Russia</t>
  </si>
  <si>
    <t>https://www.bloomberg.com/news/articles/2025-01-13/bullish-brent-bets-at-may-high-even-before-sanctions-on-russia</t>
  </si>
  <si>
    <t>The sentiment is 'bullish' because the increase in bullish bets on Brent oil to a May high suggests that market participants are optimistic about the price of oil, likely driven by anticipation of supply disruptions and potential price spikes resulting from the impending US sanctions on Russia.</t>
  </si>
  <si>
    <t>US Reliance on Saudi Oil Is Nearing Its Endgame</t>
  </si>
  <si>
    <t>https://www.bloomberg.com/opinion/articles/2025-01-13/us-reliance-on-saudi-oil-is-nearing-its-endgame</t>
  </si>
  <si>
    <t>The sentiment is 'bullish' because a decline in US reliance on Saudi oil suggests increased energy independence and diversification, which could lead to reduced price volatility and improved supply security, ultimately benefiting the US economy and oil market participants.</t>
  </si>
  <si>
    <t>Oil Sanctions Jolt Market as Bear Case Faces a Challenge</t>
  </si>
  <si>
    <t>https://www.bloomberg.com/news/articles/2025-01-13/oil-sanctions-send-a-jolt-through-market-as-bear-case-challenged</t>
  </si>
  <si>
    <t>The sentiment is not 'bullish' because the phrase "Jolt Market" implies a negative impact, which is typically associated with bearish sentiment, and the challenge to the bear case does not necessarily imply a bullish outlook, but rather a potential stabilization or slowing down of the bearish trend.</t>
  </si>
  <si>
    <t>Sanctioned Tankers Carrying Russia Oil Now Idling Off China</t>
  </si>
  <si>
    <t>https://www.bloomberg.com/news/articles/2025-01-13/sanctioned-tankers-carrying-russia-oil-now-idling-off-china</t>
  </si>
  <si>
    <t>The sentiment is 'bearish' because the idling of sanctioned tankers carrying Russian oil off China suggests a build-up of unsold crude, which could lead to a surge in global supply and put downward pressure on oil prices.</t>
  </si>
  <si>
    <t>Stock Traders Rattled by Fresh Rise in Bond Yields: Markets Wrap</t>
  </si>
  <si>
    <t>https://www.bloomberg.com/news/articles/2025-01-12/asian-stocks-under-pressure-after-blowout-us-jobs-markets-wrap</t>
  </si>
  <si>
    <t>The sentiment is 'bearish' because a fresh rise in bond yields can lead to a increase in borrowing costs, reducing investor appetite for riskier assets such as stocks, which in turn can cause a decline in equity markets.</t>
  </si>
  <si>
    <t>Wall Street Week: Responsible Growth in Banking and Responsible Snacks through AI</t>
  </si>
  <si>
    <t>https://www.bloomberg.com/news/newsletters/2025-01-11/wall-street-week-responsible-growth-in-banking-and-responsible-snacks-through-ai</t>
  </si>
  <si>
    <t>The sentiment is 'unrelated' because the headline appears to be discussing two disparate topics, namely responsible growth in banking and responsible snacks, which are unrelated to the oil market, making it irrelevant to an oil market analyst.</t>
  </si>
  <si>
    <t>Oil prices rally 3% as US hits Russian oil with tougher sanctions</t>
  </si>
  <si>
    <t>https://www.reuters.com/business/energy/oil-set-third-straight-weekly-gain-winter-fuel-demand-2025-01-10/</t>
  </si>
  <si>
    <t>The sentiment is 'bullish' because the tougher sanctions on Russian oil are likely to disrupt supply, leading to higher prices and a rally in the oil market.</t>
  </si>
  <si>
    <t>Oil Traders Betting on More Volatility Win Big on US Sanctions Against Russia</t>
  </si>
  <si>
    <t>https://www.bloomberg.com/news/articles/2025-01-10/oil-traders-betting-on-more-volatility-win-big-on-us-sanctions</t>
  </si>
  <si>
    <t>The sentiment is 'bullish' because the headline suggests that oil traders who expected increased volatility in the market, likely due to rising prices, have profited from the US sanctions against Russia, implying a positive outlook on the oil market.</t>
  </si>
  <si>
    <t>Oil Prices: Market Is Oversupplied, Brent Set to Fall to $65, BofA's Blanch Says</t>
  </si>
  <si>
    <t>https://www.youtube.com/watch?v=-66koq9fFYc</t>
  </si>
  <si>
    <t>The sentiment is 'bearish' because the headline suggests that the market is oversupplied, which implies a surplus of oil, and the predicted price drop to $65 per barrel indicates a downward pressure on oil prices, both of which are typically associated with bearish market sentiment.</t>
  </si>
  <si>
    <t>Watch Oil Is Oversupplied, Set to Fall to $65 in Next Two Months, BofA's Blanch Says</t>
  </si>
  <si>
    <t>https://www.bloomberg.com/news/videos/2025-01-10/oil-is-oversupplied-set-to-fall-to-65-bofa-s-blanch-video</t>
  </si>
  <si>
    <t>The sentiment is 'bearish' because the headline explicitly states that oil is oversupplied and is expected to fall in price, which implies a pessimistic outlook for oil prices and the market.</t>
  </si>
  <si>
    <t>Stock Market News, Jan. 10, 2025: Stocks Slide, Bond Yields Jump After Strong Jobs Report - WSJ</t>
  </si>
  <si>
    <t>https://news.google.com/rss/articles/CBMilgFBVV95cUxNSWZuZjhsWUhBNW1MT2tFV1R3RnRTVDZFQVk3bUR3NFc1QTJiR2htTGdIbGhZdkpGaV9SN2VKbUNMblhyWFU1bVBMaGRnd3hfQnJSS2t5UWFLd0hfNmNJRjJDaEw4Vk43YWZnOEFZTWxKMkx0UnA1YjhBVmRESzVSMFNIVEp2TWtkeU8yZEhNY1JYakRKQ0E?oc=5</t>
  </si>
  <si>
    <t>The sentiment is 'bearish' because a strong jobs report tends to suggest that interest rates may rise to combat inflation, which can lead to a decrease in stock prices and an increase in bond yields, as investors become more risk-averse.</t>
  </si>
  <si>
    <t>Oil Nears $80 on Report of More US Sanctions Against Russia</t>
  </si>
  <si>
    <t>https://www.bloomberg.com/news/articles/2025-01-09/latest-oil-market-news-and-analysis-for-january-10</t>
  </si>
  <si>
    <t>The sentiment is 'bullish' because the implementation of additional US sanctions against Russia has the potential to disrupt Russian oil exports, leading to a decrease in global oil supply and a subsequent increase in prices.</t>
  </si>
  <si>
    <t>Brent Hoberman hits out at media scrutiny of government business advisors - UKTN</t>
  </si>
  <si>
    <t>https://www.uktech.news/news/government-and-policy/brent-hoberman-hits-out-at-media-scrutiny-of-government-business-advisors-20250110</t>
  </si>
  <si>
    <t>The sentiment is 'unrelated' because the headline discusses a topic unrelated to oil markets, specifically the opinions of Brent Hoberman on media scrutiny of government business advisors, which has no connection to oil market analysis.</t>
  </si>
  <si>
    <t>Brent Crude Oil Hits $80 a Barrel for First Time Since October</t>
  </si>
  <si>
    <t>https://www.bloomberg.com/news/articles/2025-01-10/brent-crude-oil-hits-80-a-barrel-for-first-time-since-october</t>
  </si>
  <si>
    <t>The sentiment is 'bullish' because the headline indicates a significant price increase, reaching a level not seen since October, which suggests a strengthening demand and/or supply constraints, thereby boosting investor confidence in the oil market.</t>
  </si>
  <si>
    <t>Oil Steadies After Volatile Session on Signs of Tighter Market</t>
  </si>
  <si>
    <t>https://www.bloomberg.com/news/articles/2025-01-08/latest-oil-market-news-and-analysis-for-january-9</t>
  </si>
  <si>
    <t>The sentiment is 'bullish' because the headline suggests that the oil market is stabilizing and potentially tightening, which implies a reduction in supply and/or an increase in demand, leading to higher prices.</t>
  </si>
  <si>
    <t>Outlook on crude oil</t>
  </si>
  <si>
    <t>https://www.bnnbloomberg.ca/video/shows/commodities/2025/01/09/outlook-on-crude-oil/</t>
  </si>
  <si>
    <t>The sentiment is 'unrelated' because the headline "Outlook on crude oil" is neutral and does not convey a positive, negative, or mixed emotional tone, simply stating a factual topic without expressing a opinion or sentiment.</t>
  </si>
  <si>
    <t>Oil settles up 1% as cold weather in US, Europe drives winter fuel demand</t>
  </si>
  <si>
    <t>https://www.reuters.com/business/energy/oil-prices-extend-losses-rising-us-fuel-inventories-2025-01-09/</t>
  </si>
  <si>
    <t>The sentiment is 'bullish' because the headline indicates that oil prices are rising due to increased demand for winter fuels, which is a fundamental driver of oil prices and suggests a tighter market, supporting a positive outlook for oil prices.</t>
  </si>
  <si>
    <t>Don't Be Fooled by Oil's Strong Start to 2025</t>
  </si>
  <si>
    <t>https://www.bloomberg.com/news/newsletters/2025-01-09/oil-market-don-t-be-fooled-by-crude-s-strong-start-to-2025</t>
  </si>
  <si>
    <t>The sentiment is 'bearish' because despite oil's strong performance at the beginning of 2025, the author likely believes that underlying market fundamentals, such as oversupply or weakening demand, will ultimately lead to a correction or downturn in oil prices.</t>
  </si>
  <si>
    <t>Gas More Expensive Than Oil Sets Stage for Asian Fuel Switching</t>
  </si>
  <si>
    <t>https://www.bloomberg.com/news/articles/2025-01-09/gas-more-expensive-than-oil-sets-stage-for-asian-fuel-switching</t>
  </si>
  <si>
    <t>The sentiment is 'bullish' because the headline suggests that high gas prices will incentivize Asian fuel users to switch to oil, increasing demand and potentially driving up oil prices, which is a positive development for oil producers and investors.</t>
  </si>
  <si>
    <t>Trump Asks Supreme Court to Block Hush-Money Sentencing</t>
  </si>
  <si>
    <t>https://www.wsj.com/us-news/law/trump-asks-supreme-court-to-block-hush-money-sentencing-571b5e11</t>
  </si>
  <si>
    <t>The sentiment is 'unrelated' because the headline is about a political and legal issue involving former President Trump, and has no direct connection or relevance to the oil market, making it unrelated to the field of oil market analysis.</t>
  </si>
  <si>
    <t>Canada Energy Minister Warns Trump Against an Oil Trade War</t>
  </si>
  <si>
    <t>https://www.bloomberg.com/news/articles/2025-01-08/canada-energy-minister-warns-trump-against-an-oil-trade-war</t>
  </si>
  <si>
    <t>The sentiment is not 'bullish' because a trade war would likely disrupt global oil supplies, drive up prices, and hurt Canadian oil exporters, which would be a bearish scenario for the oil market.</t>
  </si>
  <si>
    <t>U.S. Crude Oil Stockpiles Extend Decline to Seven Weeks - WSJ</t>
  </si>
  <si>
    <t>https://news.google.com/rss/articles/CBMipgFBVV95cUxQcnJaaGotRzhQb3Z3TFJ3MWtlZzFRcHJ4TDNhb3BoWTdpOFl1eUwxZktrV0NPUGhpVDRFMEhUalhKd1ZHYlRfNUZKX1pXOUNILU5IMFNMV0E3My1mU1NXVUNnaUNkVDJHNTAzZWVGam8td2Z3LTZoS3JtaG55Wm1qQ2dvTGhnQWhjajg0Mm1MbWhDS2xKYm5tY1ZmN2tSNjJ0SzFMNE1n?oc=5</t>
  </si>
  <si>
    <t>The sentiment is 'bullish' because a decline in crude oil stockpiles for seven consecutive weeks suggests a tightening of supply in the market, which can lead to higher oil prices, benefiting oil producers and bullish investors.</t>
  </si>
  <si>
    <t>Oil Rises a Second Day as Report Points to Falling US Stockpiles</t>
  </si>
  <si>
    <t>https://www.bloomberg.com/news/articles/2025-01-07/latest-oil-market-news-and-analysis-for-jan-8</t>
  </si>
  <si>
    <t>The sentiment is 'bullish' because a report indicating falling US stockpiles suggests a tightening of supply, which is likely to support prices and boost market optimism.</t>
  </si>
  <si>
    <t>Oil prices settle up on possible supply disruption, hopes for China demand - Reuters</t>
  </si>
  <si>
    <t>https://news.google.com/rss/articles/CBMisAFBVV95cUxQRkJVTGhRRkFTRHBIWUl6MG96eEtLOWREY1BmMjNNU2xmaEE0TU41eDY3TGY2bE9hcFZQRjd5MXBZY0RrVE1wVVdXejk3VmgxRFg4eG5MSXlidk4wVW10RkVEYXVReTUzU0lEZlg5WnVYQVZQV29UYWw5OXN4cnNETTIxbUdCdHpNTXZDRjRBQnM5NGVFY2ZBN290RGF3bWRaRlRaQXVQclM0UFB3eEdpLQ?oc=5</t>
  </si>
  <si>
    <t>The sentiment is 'bullish' because the headline suggests that oil prices are rising due to potential supply disruptions and hopes for increased demand from China, which are both positive factors that could support higher prices in the future.</t>
  </si>
  <si>
    <t>Oil holds first decline this year on signs rally was overdone</t>
  </si>
  <si>
    <t>https://www.moneyweb.co.za/news/markets/oil-holds-first-decline-this-year-on-signs-rally-was-overdone/</t>
  </si>
  <si>
    <t>The sentiment is 'bearish' because the headline suggests that the recent rally in oil prices may have been excessive and is due for a correction, implying that prices may decline or stagnate in the near term.</t>
  </si>
  <si>
    <t>Oil prices settle up on possible supply disruption, hopes for China demand</t>
  </si>
  <si>
    <t>https://www.reuters.com/business/energy/oil-prices-extend-losses-firmer-dollar-supply-outlook-weigh-2025-01-07/</t>
  </si>
  <si>
    <t>The sentiment is 'bullish' because the headline suggests that oil prices are rising due to potential supply disruptions, which can lead to tighter market conditions, and hopes for increased demand from China, a major oil consumer, which can further support prices.</t>
  </si>
  <si>
    <t>Reports: A's DH Brent Rooker signs 5-year, $60M extension</t>
  </si>
  <si>
    <t>https://www.reuters.com/sports/reports-as-dh-brent-rooker-signs-5-year-60m-extension-2025-01-07/</t>
  </si>
  <si>
    <t>The sentiment is 'unrelated' because the headline appears to be about a sports transaction, specifically a baseball player signing a contract extension, which has no apparent connection to the oil market or any relevant factors that would impact oil prices.</t>
  </si>
  <si>
    <t>Russia Says It Cut Crude Oil Output Below OPEC+ Target in December</t>
  </si>
  <si>
    <t>https://www.bloomberg.com/news/articles/2025-01-07/russia-says-it-cut-crude-oil-output-below-opec-target-in-december</t>
  </si>
  <si>
    <t>The sentiment is 'bullish' because Russia's announcement of cutting crude oil output below the OPEC+ target in December suggests a tighter oil market, which could lead to higher prices, benefiting oil producers and investors.</t>
  </si>
  <si>
    <t>Bridgewater Cuts 7% of Staff in Effort to Remain â€˜Nimbleâ€™</t>
  </si>
  <si>
    <t>https://www.bnnbloomberg.ca/business/company-news/2025/01/06/bridgewater-dismisses-7-of-staff-in-effort-to-remain-nimble/</t>
  </si>
  <si>
    <t>The sentiment is 'unrelated' because the news about Bridgewater cutting 7% of its staff has no direct impact on the oil market or its trends, making it an unrelated event from an oil market analyst's perspective.</t>
  </si>
  <si>
    <t>Oil Tops Brazil Exports, Bolstering COP30 Hostâ€™s Challenge</t>
  </si>
  <si>
    <t>https://www.bloomberg.com/news/articles/2025-01-06/oil-tops-brazilian-exports-bolstering-cop30-host-s-challenge</t>
  </si>
  <si>
    <t>The sentiment is 'bullish' because the headline suggests that oil exports have become the top contributor to Brazil's exports, implying a strong demand for oil and a positive outlook for the oil market, which would be beneficial for oil producers and exporters.</t>
  </si>
  <si>
    <t>Brent Crude Oil Averaging $65 in â€˜25 to Keep OPEC+ Under Pressure, BofA Says - Bloomberg.com</t>
  </si>
  <si>
    <t>https://news.google.com/rss/articles/CBMisAFBVV95cUxQUHJVWHpHbzhuMzg2Ti1CMHRMUTc4eEhnWDctQ2Vxb3o0bWZTM2s2ZHczY3FaNHdSdHlad1ZEbGY0ZjhCNERNajlUNTVKWkprVDhhcnRaLVotSDdVTzNZVGJQZjY3bmJrbzlnYWpHckhRVjl0R0NtQ3NoUEU1bzVFQTBYSDIzY2hMSTIxWHB3QmZ5Z1VtcHdCSHBDelBQRlFQT2pYU3RWbEZRVVQyRElIaw?oc=5</t>
  </si>
  <si>
    <t>The sentiment is 'bearish' because a forecast of Brent crude oil averaging $65 in 2025 implies a downward pressure on oil prices, which could negatively impact oil producers and OPEC+, leading to a bearish outlook for the market.</t>
  </si>
  <si>
    <t>Saudis Raise February Crude Prices as OPEC+ Holds Back Barrels</t>
  </si>
  <si>
    <t>https://www.google.com/url?sa=t&amp;rct=j&amp;q=&amp;esrc=s&amp;source=newssearch&amp;cd=&amp;cad=rja&amp;uact=8&amp;ved=2ahUKEwi4kLfErpWMAxV9WGwGHczEC4U4WhDF9AEoAHoECAkQAQ&amp;url=https%3A%2F%2Fwww.bloomberg.com%2Fnews%2Farticles%2F2025-01-06%2Fsaudis-raise-february-crude-prices-as-opec-holds-back-barrels&amp;usg=AOvVaw1ZISZjWkEXcAA-Rl9SYJQY&amp;opi=89978449</t>
  </si>
  <si>
    <t>The sentiment is 'bullish' because the article suggests that OPEC+ members, led by Saudi Arabia, are limiting supply and therefore supporting oil prices, which could lead to higher prices and more profitable trading conditions for market participants.</t>
  </si>
  <si>
    <t>Oil Bull Crowd Grows to Start 2025 on Trump Trade, Technicals</t>
  </si>
  <si>
    <t>https://www.bnnbloomberg.ca/investing/2025/01/06/oil-bull-crowd-grows-to-start-2025-on-trump-trade-technicals/</t>
  </si>
  <si>
    <t>The sentiment is 'bullish' because the headline suggests that a growing number of market participants are optimistic about oil prices, driven by positive factors such as the "Trump Trade" and technical indicators, which implies an expectation of rising prices.</t>
  </si>
  <si>
    <t>Oil Holds Near Two-Month High as Stocks Set to Open Higher</t>
  </si>
  <si>
    <t>https://www.bloomberg.com/news/articles/2025-01-05/latest-oil-market-news-and-analysis-for-jan-6</t>
  </si>
  <si>
    <t>The sentiment is 'bullish' because the headline indicates that oil prices are holding near a two-month high, suggesting a strengthening market trend, and the expected higher opening of stocks further reinforces the positive outlook.</t>
  </si>
  <si>
    <t>Brent Crude Oil Averaging $65 in â€˜25 to Keep OPEC+ Under Pressure, BofA Says</t>
  </si>
  <si>
    <t>https://www.bloomberg.com/news/articles/2025-01-06/oil-averaging-65-in-25-to-keep-opec-under-pressure-bofa-says</t>
  </si>
  <si>
    <t>The sentiment is 'bearish' because a forecast of Brent Crude averaging $65 in 2025 suggests a downward pressure on oil prices, which could limit OPEC+'s ability to influence the market and maintain higher prices.</t>
  </si>
  <si>
    <t>Brent Crude Time Spreads</t>
  </si>
  <si>
    <t>https://www.reuters.com/graphics/GLOBAL-OIL/yzdpxjzkrpx/</t>
  </si>
  <si>
    <t>The sentiment is 'unrelated' because time spreads in Brent Crude oil futures, which represent the difference in price between two different contract months, do not convey a clear bullish or bearish signal, and thus do not express a sentiment about the market direction.</t>
  </si>
  <si>
    <t>Trumpâ€™s ambitious oil plans will not derail Russia</t>
  </si>
  <si>
    <t>https://www.ft.com/content/68403277-9cda-491c-aeeb-7dbe77850df6</t>
  </si>
  <si>
    <t>The sentiment is 'bullish' because Trump's ambitious oil plans, which likely involve increasing US oil production, would ultimately lead to a global supply surplus, putting downward pressure on oil prices and benefiting large oil consumers like Russia, which could then maintain its market share and even gain from lower production costs.</t>
  </si>
  <si>
    <t>WTI oil price hits highest since mid-October as 2025 begins with market uncertainty</t>
  </si>
  <si>
    <t>https://www.worldoil.com/news/2025/1/4/wti-oil-price-hits-highest-since-mid-october-as-2025-begins-with-market-uncertainty/</t>
  </si>
  <si>
    <t>The sentiment is 'bullish' because the headline highlights that WTI oil price has reached its highest level since mid-October, indicating a strong start to the year and a potential trend reversal, despite lingering market uncertainty.</t>
  </si>
  <si>
    <t>Middle East Oil Prices Jump on Scant Flows From Iran, Russia</t>
  </si>
  <si>
    <t>https://www.bloomberg.com/news/articles/2025-01-03/middle-east-oil-prices-jump-on-scant-flows-from-iran-russia</t>
  </si>
  <si>
    <t>The sentiment is 'bullish' because the reduced flows from key oil producers Iran and Russia will likely lead to tighter global oil supply, which tends to support higher prices.</t>
  </si>
  <si>
    <t>Jefferiesâ€™ Rothney Gets Ready for a Dealmaking Blitz in Canada</t>
  </si>
  <si>
    <t>https://www.bloomberg.com/news/newsletters/2025-01-03/jefferies-bruce-rothney-is-ready-for-a-deal-blitz-in-canada-bay-street-edition</t>
  </si>
  <si>
    <t>The sentiment is 'bullish' because the phrase "Dealmaking Blitz" implies an increase in mergers and acquisitions activity in the Canadian market, which typically signals a positive outlook for the industry and potential for growth and investment opportunities.</t>
  </si>
  <si>
    <t>Oil Set for Second Weekly Advance as US Crude Stockpiles Shrink</t>
  </si>
  <si>
    <t>https://www.bloomberg.com/news/articles/2025-01-02/latest-oil-market-news-and-analysis-for-jan-3</t>
  </si>
  <si>
    <t>The sentiment is 'bullish' because a contraction in US crude stockpiles is a fundamental signal of a tightening oil market, implying stronger demand and/or supply constraints, which typically supports higher prices.</t>
  </si>
  <si>
    <t>Thailand Moves to Seize Tycoonâ€™s Assets in $350 Million Scam</t>
  </si>
  <si>
    <t>https://www.bloomberg.com/news/articles/2025-01-03/thailand-moves-to-seize-tycoon-s-assets-in-350-million-scam</t>
  </si>
  <si>
    <t>The sentiment is 'unrelated' because the headline appears to be reporting on a legal or financial issue in Thailand, which has no obvious connection to the oil market, and therefore would not be expected to have an impact on oil prices or market trends.</t>
  </si>
  <si>
    <t>Oil Prices Rise on Chinese Demand Optimism</t>
  </si>
  <si>
    <t>https://www.wsj.com/finance/commodities-futures/oil-rises-prices-could-recover-this-year-3c2fd31c</t>
  </si>
  <si>
    <t>The sentiment is 'bullish' because the headline suggests that oil prices are increasing due to optimism about Chinese demand, implying a potential surge in oil consumption from the world's largest importer, which would be a positive development for the oil market.</t>
  </si>
  <si>
    <t>Treasuries Start 2025 in Familiar Bind as Oil Rally Lifts Yields</t>
  </si>
  <si>
    <t>https://www.bloomberg.com/news/articles/2025-01-02/treasuries-start-2025-in-familiar-bind-as-oil-rally-lifts-yields</t>
  </si>
  <si>
    <t>The sentiment is 'bullish' because a rally in oil prices, which lifts yields, typically indicates a stronger economy and higher demand for energy, which could lead to further economic growth and inflation, benefiting stock markets and other risk assets.</t>
  </si>
  <si>
    <t>Oil prices settle up on China optimism as investors return from holiday</t>
  </si>
  <si>
    <t>https://www.reuters.com/business/energy/oil-rises-investors-return-holidays-eye-china-recovery-2025-01-02/</t>
  </si>
  <si>
    <t>The sentiment is 'bullish' because the headline suggests that oil prices are increasing due to optimism about China's economy, implying a potential increase in demand from the world's largest oil importer, which is a positive sign for the oil market.</t>
  </si>
  <si>
    <t>Oil Climbs in Yearâ€™s First Session as US Crude Stockpiles Drop</t>
  </si>
  <si>
    <t>https://www.bloomberg.com/news/articles/2025-01-01/latest-oil-market-news-and-analysis-for-jan-2</t>
  </si>
  <si>
    <t>The sentiment is 'bullish' because a decline in US crude stockpiles suggests a tighter supply-demand balance, which would support higher oil prices and boost market optimism.</t>
  </si>
  <si>
    <t>Brent Crude â€“ Oil Eyes Break of Key Confluence Level on Chinese Optimism</t>
  </si>
  <si>
    <t>https://www.marketpulse.com/commodities/brent-crude-oil-eyes-break-of-key-confluence-level-on-chinese-optimism/zvawda</t>
  </si>
  <si>
    <t>The sentiment is 'bullish' because the mention of "Chinese optimism" implies an expected increase in oil demand from China, which would put upward pressure on Brent Crude prices and support a break above a key confluence level.</t>
  </si>
  <si>
    <t>US Oil Bosses See Spending Up Despite Lower Prices, Survey Shows</t>
  </si>
  <si>
    <t>https://www.bloomberg.com/news/articles/2025-01-02/us-oil-bosses-see-spending-up-despite-lower-prices-survey-shows</t>
  </si>
  <si>
    <t>The sentiment is 'bullish' because increased spending by US oil bosses despite lower prices suggests confidence in future demand and potential revenue growth, which could lead to higher production and investment in the industry.</t>
  </si>
  <si>
    <t>One of the Worldâ€™s Dirtiest Fuels Is Staging a Price Rally</t>
  </si>
  <si>
    <t>https://www.bloomberg.com/news/articles/2024-10-31/one-of-the-world-s-dirtiest-fuels-is-staging-a-price-rally</t>
  </si>
  <si>
    <t>The sentiment is 'bullish' because the phrase "staging a price rally" implies a significant and sustained increase in prices, which is typically a positive development for producers and investors in the fuel market.</t>
  </si>
  <si>
    <t>TotalEnergiesâ€™ Profit Drops More Than Expected as Oil Prices Fall</t>
  </si>
  <si>
    <t>https://www.bloomberg.com/news/articles/2024-10-31/totalenergies-profit-drops-more-than-expected-on-refining-slump</t>
  </si>
  <si>
    <t>The sentiment is 'bearish' because a drop in profit that exceeds expectations is a negative indicator for the company's performance and outlook, suggesting that the decline in oil prices is having a more significant impact on TotalEnergies' bottom line than anticipated.</t>
  </si>
  <si>
    <t>Oil prices post 3% annual decline, slipping for second year in a row</t>
  </si>
  <si>
    <t>https://www.reuters.com/business/energy/oil-rises-expanding-chinese-factory-activity-set-end-year-lower-2024-12-31/</t>
  </si>
  <si>
    <t>The sentiment is 'bearish' because the headline explicitly states a decline in oil prices, which implies a negative outlook for oil producers and investors, indicating a pessimistic tone.</t>
  </si>
  <si>
    <t>Oil Heads for Modest Annual Loss as Market Looks Ahead to 2025</t>
  </si>
  <si>
    <t>https://www.bloomberg.com/news/articles/2024-12-30/latest-oil-market-news-and-analysis-for-dec-31</t>
  </si>
  <si>
    <t>The sentiment is 'bearish' because the phrase "modest annual loss" implies that oil prices have been declining over the year, which is a negative outcome for oil producers and investors.</t>
  </si>
  <si>
    <t>Microsoft Looks to Prove AI Is a Boon to the Workplace</t>
  </si>
  <si>
    <t>https://www.bloomberg.com/news/newsletters/2024-12-31/microsoft-looks-to-2025-to-prove-ai-is-a-boon-to-the-workplace</t>
  </si>
  <si>
    <t>The sentiment is 'unrelated' because the headline's focus on AI in the workplace has no direct connection to the oil market or any related industry, making it an unrelated topic for an oil market analyst.</t>
  </si>
  <si>
    <t>Oil Heads for Modest Annual Loss as Market Looks Ahead to 2025 - Bloomberg.com</t>
  </si>
  <si>
    <t>https://news.google.com/rss/articles/CBMingFBVV95cUxOb0xORnI1cFlMYXBFWHU1Y0J1VnJpMmIxbURPcGwwcjZScmZWWWVkRVRJVDdJTV9UYWg2R1N2RHgtZG9sbWVhOTdzOVotc0dOekp1ajMxejkyV2ZJUHI2MnNaQXVaU3ZpMVZwZmx3dmpab1N4X1otSndfWUFSNzNGMlIyUkNCOTJ2WUdVTHZnaGpNUW5vcTVDazRIRnczZw?oc=5</t>
  </si>
  <si>
    <t>The sentiment is 'bearish' because the headline mentions a "modest annual loss" for oil, implying that the market is expected to decline or underperform, which is a bearish outlook.</t>
  </si>
  <si>
    <t>Is the Stock Market Open on New Year's Day? Hereâ€™s the Holiday Trading Schedule</t>
  </si>
  <si>
    <t>https://www.wsj.com/livecoverage/stock-market-today-dow-sp500-nasdaq-live-12-31-2024/card/is-the-stock-market-open-on-new-year-s-day-here-s-the-holiday-trading-schedule-1mTBQE4xzn6zbFoeZQPq</t>
  </si>
  <si>
    <t>The sentiment is 'unrelated' because the headline refers to the stock market and its holiday trading schedule, which has no direct connection to the oil market, making it an unrelated topic from an oil market analyst's perspective.</t>
  </si>
  <si>
    <t>Bullish Oil Bets at Four-Month High as Investors Eye 2025 Risks</t>
  </si>
  <si>
    <t>https://www.bloomberg.com/news/articles/2024-12-30/bullish-oil-bets-at-four-month-high-as-investors-eye-2025-risks</t>
  </si>
  <si>
    <t>The sentiment is 'bullish' because the headline indicates that investors are taking long positions in oil, anticipating higher prices in 2025, which suggests a positive outlook for the oil market.</t>
  </si>
  <si>
    <t>Oil rises on diesel demand boost in sparse holiday trade</t>
  </si>
  <si>
    <t>https://www.reuters.com/business/energy/oil-inches-lower-thin-trade-investors-eye-china-us-data-2024-12-30/</t>
  </si>
  <si>
    <t>The sentiment is 'bullish' because the headline suggests that oil prices are increasing due to a specific and positive fundamental factor, namely a boost in diesel demand, which outweighs the potentially bearish impact of sparse holiday trade.</t>
  </si>
  <si>
    <t>Oil Dips in Thin Trading as Traders Focus on 2025 Outlook</t>
  </si>
  <si>
    <t>https://www.bloomberg.com/news/articles/2024-12-29/latest-oil-market-news-and-analysis-for-dec-30</t>
  </si>
  <si>
    <t>The sentiment is 'bearish' because the headline suggests that oil prices are declining (dipping) even in a period of low trading activity, implying that the market is fundamentally weak and lacking buying interest, which is a characteristic of a bearish market.</t>
  </si>
  <si>
    <t>Prepare for a Bumpy Year in Coffee, Oil and Other Commodities</t>
  </si>
  <si>
    <t>https://www.bloomberg.com/opinion/articles/2024-12-30/prepare-for-a-bumpy-year-in-coffee-oil-and-other-commodities?srnd=all</t>
  </si>
  <si>
    <t>The sentiment is 'bearish' because the headline suggests that commodity prices, including oil, are expected to experience significant volatility and potentially declining values, which could lead to reduced demand, increased supply, and downward pressure on prices.</t>
  </si>
  <si>
    <t>Nakhle: Geopolitics Biggest Wildcard for Oil in 2025</t>
  </si>
  <si>
    <t>https://www.bloomberg.com/news/videos/2024-12-30/nakhle-geopolitics-biggest-wildcard-for-oil-in-2025-video</t>
  </si>
  <si>
    <t>The sentiment is 'bearish' because the mention of geopolitics as a wildcard for oil in 2025 implies that there are potential downside risks to oil prices from unforeseen political events, which could lead to supply disruptions or demand destruction.</t>
  </si>
  <si>
    <t>U.S. Shale Is Growing Old. Thatâ€™s a Problem for Donald Trumpâ€™s Oil Plans.</t>
  </si>
  <si>
    <t>https://www.wsj.com/business/energy-oil/us-shale-trump-oil-policy-1a001e6c</t>
  </si>
  <si>
    <t>The sentiment is 'bearish' because the article suggests that the decline of U.S. shale production could undermine the Trump administration's goals of increasing domestic oil output and reducing reliance on foreign imports, which would have negative implications for the oil market and the broader economy.</t>
  </si>
  <si>
    <t>Oil Holds Advance With China Stimulus and US Stockpiles in Focus</t>
  </si>
  <si>
    <t>https://www.bloomberg.com/news/articles/2024-12-25/latest-oil-market-news-and-analysis-for-dec-26</t>
  </si>
  <si>
    <t>The sentiment is 'bullish' because the headline suggests that oil prices are being supported by positive news from China, a major oil consumer, and potentially decreasing US stockpiles, which could indicate a tightening of the global oil supply-demand balance.</t>
  </si>
  <si>
    <t>Oil prices edge higher on hopes for more China stimulus</t>
  </si>
  <si>
    <t>https://www.businesstimes.com.sg/companies-markets/energy-commodities/oil-prices-edge-higher-hopes-more-china-stimulus</t>
  </si>
  <si>
    <t>The sentiment is 'bullish' because the headline suggests that oil prices are rising due to optimism about potential stimulus measures in China, which would likely boost oil demand and support prices.</t>
  </si>
  <si>
    <t>Investors Oil FEARS, steady weigh as U.S. SEASONAL RATE DEMAND fiRMER</t>
  </si>
  <si>
    <t>https://www.pressreader.com/eswatini/eswatini-financial-times-9y78/20240525/281887303428664</t>
  </si>
  <si>
    <t>The sentiment is 'bullish' because the phrase "U.S. SEASONAL RATE DEMAND fiRMER" suggests that oil demand is stronger than expected, which would support higher oil prices and alleviate investor fears.</t>
  </si>
  <si>
    <t>Plan to throttle foreign fossil fuel finance collapses at OECD, Bloomberg reports</t>
  </si>
  <si>
    <t>https://www.reuters.com/business/energy/plan-throttle-foreign-fossil-fuel-finance-collapses-oecd-bloomberg-reports-2024-12-23/</t>
  </si>
  <si>
    <t>The sentiment is 'bullish' because the collapse of a plan to throttle foreign fossil fuel finance at the OECD means that oil and gas projects may continue to access capital, supporting the industry's growth and potentially leading to increased production and investment.</t>
  </si>
  <si>
    <t>Oil prices firm on hopes of US policy support for economic growth</t>
  </si>
  <si>
    <t>https://www.businesstimes.com.sg/companies-markets/energy-commodities/oil-prices-firm-hopes-us-policy-support-economic-growth</t>
  </si>
  <si>
    <t>The sentiment is 'bullish' because the headline indicates that oil prices are rising on expectations of US policy support for economic growth, which suggests that the market is anticipating increased demand for oil, leading to higher prices.</t>
  </si>
  <si>
    <t>Oil prices ease on surplus concerns, dollar strength</t>
  </si>
  <si>
    <t>https://www.reuters.com/business/energy/oil-prices-firm-hopes-us-policy-support-economic-growth-2024-12-23/</t>
  </si>
  <si>
    <t>The sentiment is 'bearish' because the headline suggests that oil prices are falling due to concerns about a surplus, implying an oversupply in the market, and a strengthening dollar, which could reduce demand for oil.</t>
  </si>
  <si>
    <t>Oil Drifts Lower in Pre-Holiday Trading as Dollar Strengthens</t>
  </si>
  <si>
    <t>https://www.bnnbloomberg.ca/business/international/2024/12/23/oil-steadies-after-weekly-loss-as-traders-monitor-trump-threats/</t>
  </si>
  <si>
    <t>The sentiment is 'bearish' because a strengthening dollar typically makes dollar-denominated commodities like oil more expensive for holders of other currencies, which can lead to decreased demand and lower prices.</t>
  </si>
  <si>
    <t>Oil Holds Near Three-Month High After Another Red Sea Attack</t>
  </si>
  <si>
    <t>https://www.bloomberg.com/news/articles/2024-02-19/latest-oil-market-news-and-analysis-for-feb-20</t>
  </si>
  <si>
    <t>The sentiment is 'bullish' because the headline implies that oil prices are being supported by ongoing supply concerns and geopolitical tensions, as evidenced by the latest Red Sea attack, which would typically drive prices upward.</t>
  </si>
  <si>
    <t>Trump Threatens Tariffs If EU Doesnâ€™t Buy More US Oil and Gas</t>
  </si>
  <si>
    <t>https://www.bloomberg.com/news/articles/2024-12-20/trump-threatens-sanctions-if-eu-doesn-t-buy-more-us-oil-gas</t>
  </si>
  <si>
    <t>The sentiment is 'bullish' because a potential increase in US oil and gas exports to the EU, as threatened by Trump, would likely boost demand and prices for US energy producers, benefitting their bottom line and potentially leading to increased investment and production.</t>
  </si>
  <si>
    <t>Oil prices fall on demand concerns, strong dollar</t>
  </si>
  <si>
    <t>https://www.reuters.com/markets/commodities/oil-prices-fall-demand-concerns-strong-dollar-2024-12-20/</t>
  </si>
  <si>
    <t>The sentiment is 'bearish' because the headline suggests that oil prices are falling due to concerns about weakening demand, which is a fundamental bearish indicator, and a strong dollar, which can also exert downward pressure on oil prices.</t>
  </si>
  <si>
    <t>Iranian Oil Stored at Sea at Five-Month High as Sanctions Bite</t>
  </si>
  <si>
    <t>https://www.bloomberg.com/news/articles/2024-12-20/iranian-oil-stored-at-sea-at-five-month-high-as-sanctions-bite</t>
  </si>
  <si>
    <t>The sentiment is 'bearish' because the headline suggests that Iranian oil is being stored at sea rather than being consumed or refined, implying a surplus of oil that is struggling to find a market, which could lead to downward pressure on oil prices.</t>
  </si>
  <si>
    <t>Oil Demand Concerns Weigh on 2025 Price Outlook</t>
  </si>
  <si>
    <t>https://www.wsj.com/business/energy-oil/oil-demand-concerns-weigh-on-2025-price-outlook-b962cfdf</t>
  </si>
  <si>
    <t>The sentiment is 'bearish' because the headline explicitly states that concerns about oil demand are affecting the price outlook, implying a downward pressure on prices in 2025.</t>
  </si>
  <si>
    <t>Hedge Funds Boost Bullish WTI Bets Most in a Year on Sanctions</t>
  </si>
  <si>
    <t>https://www.bnnbloomberg.ca/business/international/2024/12/20/hedge-funds-boost-bullish-wti-bets-most-in-a-year-on-sanctions/</t>
  </si>
  <si>
    <t>The sentiment is 'bullish' because the headline indicates that hedge funds are increasing their long positions in West Texas Intermediate (WTI) crude oil, implying that they expect oil prices to rise, likely due to the impact of sanctions on global supply.</t>
  </si>
  <si>
    <t>Shell tied new Nigeria offshore investments to approval for oil asset sale</t>
  </si>
  <si>
    <t>https://www.ft.com/content/a56fb99d-f95e-4e0f-9312-3b56e14a94fb</t>
  </si>
  <si>
    <t>The sentiment is 'bullish' because the tie-up of new investments to the approval of the oil asset sale suggests that Shell is confident in the prospects of its Nigerian operations and is willing to invest further, which is a positive signal for the industry and the company's stock.</t>
  </si>
  <si>
    <t>The Olive Oil Crisis Is Over â€” But My Fears Arenâ€™t</t>
  </si>
  <si>
    <t>https://www.bloomberg.com/opinion/articles/2024-12-20/olive-oil-prices-crisis-is-over-but-my-fears-aren-t</t>
  </si>
  <si>
    <t>The sentiment is not 'unrelated' because the headline's author is expressing a personal fear or concern that is still present despite the crisis being resolved, implying that there is still a relevant emotional connection or sentiment attached to the topic.</t>
  </si>
  <si>
    <t>Syriaâ€™s largest refinery stops operating as Iran oil flow ceases</t>
  </si>
  <si>
    <t>https://www.ft.com/content/9d65fb40-a389-42ad-b9c5-42533a276dde</t>
  </si>
  <si>
    <t>The sentiment is not 'bullish' because the cessation of Iran's oil flow to Syria's largest refinery would likely lead to a supply shortage, which would put upward pressure on oil prices, making the sentiment bearish rather than bullish.</t>
  </si>
  <si>
    <t>G-7 Considering Options to Harden Price Cap on Russian Oil</t>
  </si>
  <si>
    <t>https://www.bloomberg.com/news/articles/2024-12-19/g-7-considering-options-to-harden-price-cap-on-russian-oil</t>
  </si>
  <si>
    <t>The sentiment is not 'bullish' because a hardened price cap on Russian oil would likely lead to reduced oil supply and potentially higher prices in the global market, which would be bearish for oil consumers and the broader economy, not bullish.</t>
  </si>
  <si>
    <t>Oil drops as dour economic outlook adds to oversupply concerns</t>
  </si>
  <si>
    <t>https://www.reuters.com/markets/commodities/oil-falls-demand-concerns-after-fed-signals-slower-easing-ahead-2024-12-19/</t>
  </si>
  <si>
    <t>The sentiment is 'bearish' because the headline suggests that oil prices are falling due to a combination of oversupply concerns and a gloomy economic outlook, which are both negative factors that would likely lead to downward pressure on oil prices.</t>
  </si>
  <si>
    <t>California Subsidizes Some of the Dirtiest Oil in the US</t>
  </si>
  <si>
    <t>https://www.bloomberg.com/news/articles/2024-12-19/california-subsidizes-some-of-the-dirtiest-oil-in-the-us</t>
  </si>
  <si>
    <t>The sentiment is 'bearish' because the headline suggests that California's subsidies may be supporting environmentally harmful oil production, which could lead to increased scrutiny, regulations, or even withdrawal of subsidies, ultimately negatively impacting the oil industry's profitability and outlook.</t>
  </si>
  <si>
    <t>Oil Falls as Dollar Surges on Fed Outlook for Fewer Rate Cuts</t>
  </si>
  <si>
    <t>https://www.bloomberg.com/news/articles/2024-12-18/latest-oil-market-news-and-analysis-for-dec-19</t>
  </si>
  <si>
    <t>The sentiment is 'bearish' because a stronger dollar, driven by expectations of fewer rate cuts from the Fed, tends to decrease demand for commodities such as oil, putting downward pressure on oil prices.</t>
  </si>
  <si>
    <t>Oil Halts Declines as Report Points to Large US Stockpile Draw</t>
  </si>
  <si>
    <t>https://www.bloomberg.com/news/articles/2024-12-17/latest-oil-market-news-and-analysis-for-december-18</t>
  </si>
  <si>
    <t>The sentiment is 'bullish' because a large draw in US stockpiles suggests stronger-than-expected demand and a tightening of the supply glut, which could support higher oil prices in the near term.</t>
  </si>
  <si>
    <t>Oil settles up after US crude stocks fall, Fed's 2025 outlook curbs gains</t>
  </si>
  <si>
    <t>https://www.reuters.com/markets/commodities/oil-prices-little-changed-ahead-fed-rate-decision-2024-12-18/</t>
  </si>
  <si>
    <t>The sentiment is 'unrelated' because the headline appears to convey a neutral or mixed message, combining a positive development (falling US crude stocks) with a negative influence (the Fed's 2025 outlook curbing gains), which doesn't clearly convey a positive, negative, or neutral sentiment.</t>
  </si>
  <si>
    <t>Oil Set for Smallest Price Range Since 2019 as Supply Woes Fade</t>
  </si>
  <si>
    <t>https://www.bloomberg.com/news/articles/2024-12-18/oil-market-s-smallest-range-since-2019-is-all-but-guaranteed</t>
  </si>
  <si>
    <t>The sentiment is 'bearish' because the headline suggests that oil prices are stabilizing and no longer rising, implying that the upward momentum has stalled, which is a bearish signal for oil prices.</t>
  </si>
  <si>
    <t>Russiaâ€™s Seaborne Crude Shipments Slide by 11% Since October</t>
  </si>
  <si>
    <t>https://www.bloomberg.com/news/articles/2024-12-17/russia-s-oil-exports-fall-by-more-than-one-tenth-from-their-october-high</t>
  </si>
  <si>
    <t>The sentiment is 'bearish' because a decline in Russia's seaborne crude shipments suggests a reduction in global oil supply, which could lead to tighter market conditions and upward price pressure, unless offset by other factors such as increased production from other regions or higher inventory levels.</t>
  </si>
  <si>
    <t>Oil Holds Decline as Poor China Economic Data Weighs on Outlook</t>
  </si>
  <si>
    <t>https://www.bloomberg.com/news/articles/2024-12-16/latest-oil-market-news-and-analysis-for-december-17</t>
  </si>
  <si>
    <t>The sentiment is 'bearish' because the article suggests that poor economic data from China, the world's largest oil importer, is likely to weigh on oil demand and thereby exert downward pressure on oil prices.</t>
  </si>
  <si>
    <t>Pyth Network Launches Energy Price Feeds Bringing the First Real-Time WTI &amp; Brent Crude Oil Market Data On-Chain</t>
  </si>
  <si>
    <t>https://www.prnewswire.com/news-releases/pyth-network-launches-energy-price-feeds-bringing-the-first-real-time-wti--brent-crude-oil-market-data-on-chain-302333256.html</t>
  </si>
  <si>
    <t>The sentiment is 'bullish' because the launch of real-time WTI and Brent crude oil market data on-chain by Pyth Network can increase transparency, efficiency, and accuracy in oil trading, ultimately benefiting market participants and potentially boosting investor confidence in the industry.</t>
  </si>
  <si>
    <t>Oil Holds Weekly Advance as US Signals Tighter Russia Sanctions</t>
  </si>
  <si>
    <t>https://www.bloomberg.com/news/articles/2024-12-15/latest-oil-market-news-and-analysis-for-dec-16</t>
  </si>
  <si>
    <t>The sentiment is 'bullish' because the headline implies that the US is considering stricter sanctions on Russia, which could lead to reduced oil supply and potentially higher prices, supporting the oil market's weekly advance.</t>
  </si>
  <si>
    <t>Russia Oil Being Delivered on More Mainstream Tankers, BRS Says</t>
  </si>
  <si>
    <t>https://www.bloomberg.com/news/articles/2024-12-17/russia-oil-being-delivered-on-more-mainstream-tankers-brs-says</t>
  </si>
  <si>
    <t>The sentiment is 'bullish' because the increased use of mainstream tankers to transport Russian oil suggests that the industry is adapting to the sanctions and finding ways to maintain oil flows, which could support oil prices.</t>
  </si>
  <si>
    <t>Glencore Hires Ex-BP Oil Trader for Top Crude Job in Asia</t>
  </si>
  <si>
    <t>https://www.bloomberg.com/news/articles/2024-12-16/glencore-hires-ex-bp-oil-trader-for-top-crude-job-in-asia</t>
  </si>
  <si>
    <t>The sentiment is 'unrelated' because the headline is simply announcing a personnel change at Glencore, a commodity trading company, and does not convey any positive, negative, or neutral sentiment about the oil market, Glencore's performance, or the industry as a whole.</t>
  </si>
  <si>
    <t>Oil Dips as Equity Market Weakness, Chinese Data Weigh on Prices</t>
  </si>
  <si>
    <t>https://www.bnnbloomberg.ca/business/international/2024/12/16/oil-holds-decline-as-poor-china-economic-data-weighs-on-outlook/</t>
  </si>
  <si>
    <t>The sentiment is 'bearish' because the headline suggests that oil prices are declining due to negative influences from the equity market and disappointing Chinese data, which are both indications of weaker demand and a potential slowdown in economic growth.</t>
  </si>
  <si>
    <t>Tanker Rates Tumble on Key Route as China Cuts Crude Purchases</t>
  </si>
  <si>
    <t>https://www.bloomberg.com/news/articles/2024-12-16/tanker-rates-tumble-on-key-route-as-china-cuts-crude-purchases</t>
  </si>
  <si>
    <t>The sentiment is 'bearish' because a decline in tanker rates on a key route, driven by China's reduction in crude purchases, suggests a decrease in demand for oil transportation, which is a negative indicator for the overall oil market.</t>
  </si>
  <si>
    <t>Oil Slips as Lackluster Chinese Data Weakens Outlook for Demand</t>
  </si>
  <si>
    <t>https://www.bnnbloomberg.ca/business/international/2024/12/15/oil-holds-weekly-advance-as-us-signals-tighter-russia-sanctions/</t>
  </si>
  <si>
    <t>The sentiment is 'bearish' because the headline suggests that weak Chinese economic data is reducing the outlook for oil demand, which would likely lead to downward pressure on oil prices.</t>
  </si>
  <si>
    <t>Oil Prices Set for New Boom After 2035 on Demand, Rapidan Says</t>
  </si>
  <si>
    <t>https://www.bloomberg.com/news/articles/2024-12-13/oil-prices-set-for-new-boom-after-2035-on-demand-rapidan-says</t>
  </si>
  <si>
    <t>The sentiment is 'bullish' because the headline suggests that oil prices will experience a new boom after 2035, driven by demand, implying a positive outlook for the oil market and likely higher prices.</t>
  </si>
  <si>
    <t>Americans Are Stockpiling to Get Ahead of Tariffs - WSJ</t>
  </si>
  <si>
    <t>https://news.google.com/rss/articles/CBMickFVX3lxTE95UHp3REtwWnIxTE15T045MFh1ek1SVkRjX1NZMXMtSFNBZmhhaHZUQjlZQXVWcXgwdU9CbFhmUG03YWtlbjBXSzNScjhPNUtMQ1pFa0pINFdfRGJJWTZKNjNoc192N0d0T3NLbTRaMDhjUQ?oc=5</t>
  </si>
  <si>
    <t>The sentiment is 'bullish' because stockpiling ahead of tariffs suggests that consumers and businesses are expecting prices to rise, which could lead to increased demand and higher prices for goods in the short term, particularly for imported goods.</t>
  </si>
  <si>
    <t>UAE to Curb Oil Shipments Amid OPEC+ Push for Quota Discipline</t>
  </si>
  <si>
    <t>https://www.bloomberg.com/news/articles/2024-12-13/uae-to-curb-oil-shipments-amid-opec-push-for-quota-discipline</t>
  </si>
  <si>
    <t>The sentiment is not 'bullish' because the headline suggests that the UAE is curbing oil shipments, which implies a decrease in oil supply, but in the context of OPEC+'s push for quota discipline, this move is likely aimed at stabilizing the market and supporting prices, rather than indicating a surge in demand or supply.</t>
  </si>
  <si>
    <t>The Oil Marketâ€™s Latest Setback: Contango Everywhere</t>
  </si>
  <si>
    <t>https://www.bnnbloomberg.ca/video/shows/commodities/2024/08/14/crude-oil-down-for-a-second-straight-session-today/</t>
  </si>
  <si>
    <t>The sentiment is 'bearish' because a contango structure, where future prices are higher than current prices, implies a glut in the market and a lack of demand, which would typically lead to downward pressure on prices.</t>
  </si>
  <si>
    <t>Trump Team Weighs Options, Including Airstrikes, to Stop Iranâ€™s Nuclear Program - WSJ</t>
  </si>
  <si>
    <t>https://news.google.com/rss/articles/CBMihAFBVV95cUxQdnlvcEVMWlRtOUhRQWxIUjB1T1ZJc0xZVFVqbkRZOWprMDdWdGI1Wk5COXRrNGtMVkdWYzJBczNDUVB1OEtSeE9hYXFxX1VGNlFDOFZPeU96a0FvZFN3Qy1CbXF1eGJRY1V0WVBwVFdyZXdhUEhpRlJhZV9faFpYMjJBemM?oc=5</t>
  </si>
  <si>
    <t>The sentiment is 'bullish' because geopolitical tensions and potential military conflicts in the Middle East, particularly those involving Iran, typically lead to increased oil prices due to supply disruption concerns and risk premiums being factored into the market.</t>
  </si>
  <si>
    <t>Australian Immigration Falls for First Time in Two Years</t>
  </si>
  <si>
    <t>https://www.bnnbloomberg.ca/business/international/2024/12/13/australian-immigration-falls-for-first-time-in-two-years/</t>
  </si>
  <si>
    <t>The sentiment is 'unrelated' because the headline about Australian immigration has no logical connection to the oil market, and changes in immigration numbers are unlikely to have a direct impact on oil demand or prices.</t>
  </si>
  <si>
    <t>Oil Rises as Possible Iran, Russia Sanctions Temper Glut Outlook</t>
  </si>
  <si>
    <t>https://www.bloomberg.com/news/articles/2024-12-12/latest-oil-market-news-and-analysis-for-december-13</t>
  </si>
  <si>
    <t>The sentiment is 'bullish' because the possibility of sanctions on Iran and Russia, two major oil producers, suggests a potential reduction in global oil supply, which could offset the current glut and support higher prices.</t>
  </si>
  <si>
    <t>Exxon Raises Capital Spending as Worldwide Oil Glut Looms</t>
  </si>
  <si>
    <t>https://www.bloomberg.com/news/articles/2024-12-11/exxon-raises-2025-capital-spending-as-worldwide-oil-glut-looms</t>
  </si>
  <si>
    <t>The sentiment is 'bearish' because Exxon's increased capital spending in a market already facing a looming oil glut suggests that the company is prioritizing production over profitability, which could lead to further downward pressure on oil prices and negatively impact the industry as a whole.</t>
  </si>
  <si>
    <t>He Helped Usher in the Reality TV Era. Now Heâ€™s Writing a New Hollywood Playbook - WSJ</t>
  </si>
  <si>
    <t>https://www.wsj.com/business/media/he-helped-usher-in-the-reality-tv-era-now-hes-writing-a-new-hollywood-playbook-fa98c184</t>
  </si>
  <si>
    <t>The sentiment is 'unrelated' because the headline appears to be about a person's impact on the entertainment industry, specifically reality TV and Hollywood, which has no apparent connection to the oil market, making it a topic outside of my area of expertise as an oil market analyst.</t>
  </si>
  <si>
    <t>Australian Payment Stakeholders Lack â€˜Shared Vision,â€™ RBA Says</t>
  </si>
  <si>
    <t>https://www.bnnbloomberg.ca/business/international/2024/12/11/australian-payment-stakeholders-lack-shared-vision-rba-says/</t>
  </si>
  <si>
    <t>The sentiment is 'unrelated' because the headline appears to be discussing a topic specific to the Australian payment system and the Reserve Bank of Australia, which has no obvious connection to the oil market.</t>
  </si>
  <si>
    <t>Apple Is Working on AI Chip With Broadcom, Information Reports</t>
  </si>
  <si>
    <t>https://www.bnnbloomberg.ca/business/technology/2024/12/11/apple-is-working-on-ai-chip-with-broadcom-information-reports/</t>
  </si>
  <si>
    <t>The sentiment is 'unrelated' because the headline is about Apple and Broadcom collaborating on an AI chip, which has no apparent connection to the oil market, and therefore is not relevant or impactful to the oil industry.</t>
  </si>
  <si>
    <t>Australiaâ€™s Central Bank Gaining Confidence on Inflation</t>
  </si>
  <si>
    <t>https://www.bloomberg.com/news/newsletters/2024-12-10/rba-rate-decision-business-confidence-australia-briefing</t>
  </si>
  <si>
    <t>The sentiment is 'bullish' because a central bank gaining confidence on inflation suggests that the economy is growing strongly, which typically boosts demand for energy and commodities, ultimately supporting oil prices.</t>
  </si>
  <si>
    <t>Oil Holds Weekly Loss as Saudi Price Cuts Signal Weak Outlook</t>
  </si>
  <si>
    <t>https://www.bloomberg.com/news/articles/2024-12-08/latest-oil-market-news-and-analysis-for-dec-9</t>
  </si>
  <si>
    <t>The sentiment is 'bearish' because the headline suggests that Saudi Arabia's price cuts are a sign of a weak demand outlook, implying that the market is anticipating lower prices and weaker fundamentals in the oil market.</t>
  </si>
  <si>
    <t>BPâ€™s Chairman Needs to Put the Company Up for Sale</t>
  </si>
  <si>
    <t>https://www.bloomberg.com/opinion/articles/2024-12-09/bp-chairman-needs-to-put-the-company-up-for-sale</t>
  </si>
  <si>
    <t>The sentiment is 'bearish' because a call to put the company up for sale implies a lack of confidence in BP's current management and business strategy, suggesting that the company's prospects are not favorable and that its value can only be unlocked through a sale.</t>
  </si>
  <si>
    <t>Morgan Stanley, HSBC cut oil supply forecast, predict $70 Brent after OPEC decision</t>
  </si>
  <si>
    <t>https://www.reuters.com/markets/commodities/morgan-stanley-ups-h2-2025-brent-view-70-after-opec-decision-2024-12-06/</t>
  </si>
  <si>
    <t>The sentiment is 'bearish' because the headline suggests that two major banks, Morgan Stanley and HSBC, are reducing their oil supply forecast, implying a potential surplus in the market, which is typically associated with downward pressure on oil prices.</t>
  </si>
  <si>
    <t>Oil prices fall on supply glut fears despite OPEC+ output cut extension</t>
  </si>
  <si>
    <t>https://www.reuters.com/business/energy/oil-prices-dip-extended-opec-supply-cuts-highlight-weak-demand-2024-12-06/</t>
  </si>
  <si>
    <t>The sentiment is 'bearish' because despite the OPEC+ output cut extension, which is typically a supportive measure for prices, oil prices still fell, indicating that the market is more concerned about the supply glut and its impact on prices than the potential benefits of the production cut.</t>
  </si>
  <si>
    <t>Apple Plans Three-Year Modem Rollout in Bid to Top Qualcomm</t>
  </si>
  <si>
    <t>https://www.bloomberg.com/news/articles/2024-12-06/apple-s-three-year-modem-road-map-company-plans-to-beat-qualcomm-by-2027</t>
  </si>
  <si>
    <t>The sentiment is 'unrelated' because the headline appears to be discussing Apple's plans for modem technology, which has no apparent connection to the oil market or any relevant oil-related issues.</t>
  </si>
  <si>
    <t>OPEC+ Braces for a Much Longer Mission to Defend Oil Prices</t>
  </si>
  <si>
    <t>https://www.bloomberg.com/news/articles/2024-12-05/opec-braces-for-a-much-longer-mission-to-defend-oil-prices</t>
  </si>
  <si>
    <t>The sentiment is 'bullish' because the headline suggests that OPEC+ is committed to taking proactive measures to support oil prices, implying that the cartel is willing to take action to prevent a price collapse, which would likely benefit oil producers and investors.</t>
  </si>
  <si>
    <t>Russian Flows of Crude via Druzhba Into Czech Republic Restart</t>
  </si>
  <si>
    <t>https://www.bloomberg.com/news/articles/2024-12-06/russian-flows-of-crude-via-druzhba-into-czech-republic-restart</t>
  </si>
  <si>
    <t>The sentiment is 'bullish' because the resumption of crude oil flows via the Druzhba pipeline into the Czech Republic indicates a restoration of supply, which can help alleviate market tightness and reduce upward pressure on oil prices.</t>
  </si>
  <si>
    <t>Oil Holds Decline as Traders Turn Focus to OPEC+ Supply Meeting</t>
  </si>
  <si>
    <t>https://www.bloomberg.com/news/articles/2024-12-04/latest-oil-market-news-and-analysis-for-dec-5</t>
  </si>
  <si>
    <t>The sentiment is 'bearish' because the headline implies that despite a potential increase in supply from OPEC+, traders are still focused on the existing decline in oil prices, indicating a lack of confidence in the cartel's ability to support the market.</t>
  </si>
  <si>
    <t>Oil falls as investors weigh ample 2025 supply outlook, delayed OPEC+ output hike</t>
  </si>
  <si>
    <t>https://www.reuters.com/markets/commodities/oil-prices-rise-with-all-eyes-opec-supply-decision-2024-12-05/</t>
  </si>
  <si>
    <t>The sentiment is 'bearish' because the headline suggests that the oil market is expected to be oversupplied in 2025, which would put downward pressure on prices, and the delayed OPEC+ output hike implies that the cartel is unwilling or unable to support prices through production cuts.</t>
  </si>
  <si>
    <t>OPEC+ Dilemma and Trump Uncertainty Keep Oil Volatility Sliding</t>
  </si>
  <si>
    <t>https://www.bloomberg.com/news/articles/2024-12-04/opec-dilemma-and-trump-uncertainty-keep-oil-volatility-sliding</t>
  </si>
  <si>
    <t>The sentiment is 'bearish' because the article suggests that uncertainty surrounding OPEC+ production decisions and Trump's actions are contributing to oil market volatility, which could lead to downward pressure on oil prices.</t>
  </si>
  <si>
    <t>Oil Holds Hefty Advance on OPEC+ Deal Progress, Iran Sanctions - Bloomberg.com</t>
  </si>
  <si>
    <t>https://news.google.com/rss/articles/CBMinAFBVV95cUxPMjVfdnFWU0hZX2xobV9RRTRLNHl1OVMyVWF3QnBpcmM2OEVaeVFUNDg5ZDdfN1pwd3g4T1c3V3dPNWo0cklDMG1vV3VsbDNxanlFTmg2dzVNWlViRzNjUHRFbWc2Z0ptcFpoaXR6bkw5cW9uOHl2UUZ6alc5VUNJd0JZNFEybFFvcFdfYS1hTmxfaXIxZktJZnI0X1A?oc=5</t>
  </si>
  <si>
    <t>The sentiment is 'bullish' because the progress on the OPEC+ deal and the looming Iran sanctions are both indicative of potential supply constraints, which would likely support oil prices and justify a positive market outlook.</t>
  </si>
  <si>
    <t>Oil Holds Hefty Advance on OPEC+ Deal Progress, Iran Sanctions</t>
  </si>
  <si>
    <t>https://www.google.com/url?sa=t&amp;rct=j&amp;q=&amp;esrc=s&amp;source=newssearch&amp;cd=&amp;ved=2ahUKEwj82_fOu5eMAxVrcGwGHa-qA6E4RhDF9AEoAHoECA4QAQ&amp;url=https%3A%2F%2Fwww.bloomberg.com%2Fnews%2Farticles%2F2024-12-03%2Flatest-oil-market-news-and-analysis-for-dec-4&amp;usg=AOvVaw12Ik0R_Mx-qY98PGXjEkd1&amp;opi=89978449</t>
  </si>
  <si>
    <t>The sentiment is 'bullish' because the progress on the OPEC+ deal and the imposition of Iran sanctions are likely to reduce global oil supply, thereby supporting higher oil prices.</t>
  </si>
  <si>
    <t>North Sea Oil Market Sees Biggest Trading Frenzy in 16 Years</t>
  </si>
  <si>
    <t>https://www.bnnbloomberg.ca/investing/2024/12/03/north-sea-oil-market-sees-biggest-trading-frenzy-in-16-years/</t>
  </si>
  <si>
    <t>The sentiment is 'bullish' because a trading frenzy, especially one that is the largest in 16 years, typically indicates a surge in demand and upward price pressure, which is a positive signal for the North Sea oil market.</t>
  </si>
  <si>
    <t>Oil Stays in Tight Range as OPEC+ Meeting Remains Key Focus</t>
  </si>
  <si>
    <t>https://www.bloomberg.com/news/articles/2024-12-02/latest-oil-market-news-and-analysis-for-dec-3</t>
  </si>
  <si>
    <t>The sentiment is 'unrelated' because the headline is neutral and purely factual, simply stating that oil prices are trading within a narrow range and that the market's attention is focused on the upcoming OPEC+ meeting, without expressing any emotional tone or opinion.</t>
  </si>
  <si>
    <t>Russiaâ€™s Seaborne Crude Exports Jump Before Pivotal OPEC+ Talks</t>
  </si>
  <si>
    <t>https://www.bloomberg.com/news/articles/2024-12-03/russia-s-oil-exports-jump-ahead-of-opec-meeting-to-discuss-production-plans</t>
  </si>
  <si>
    <t>The sentiment is 'bullish' because an increase in Russia's seaborne crude exports suggests a tighter global supply balance, which could support higher oil prices and influence the outcome of the OPEC+ talks in a way that benefits oil producers.</t>
  </si>
  <si>
    <t>Oil rises on fears about Lebanon, further OPEC+ supply cuts</t>
  </si>
  <si>
    <t>https://www.reuters.com/markets/commodities/oil-prices-little-changed-ahead-opec-meeting-2024-12-03/</t>
  </si>
  <si>
    <t>The sentiment is 'bullish' because the headline suggests that oil prices are increasing due to concerns about potential supply disruptions in Lebanon and expectations of further output reductions from OPEC+, which would reduce global oil supply and support prices.</t>
  </si>
  <si>
    <t>Iranâ€™s Oil Trade With China Rattled by US Sanctions on Tankers</t>
  </si>
  <si>
    <t>https://www.bloomberg.com/news/articles/2024-12-02/iran-s-oil-trade-with-china-rattled-by-us-sanctions-on-tankers</t>
  </si>
  <si>
    <t>The sentiment is 'bearish' because the article suggests that US sanctions on tankers could disrupt Iran's oil trade with China, which would likely reduce Iranian oil exports and put downward pressure on global oil prices.</t>
  </si>
  <si>
    <t>The Wrong Oil Price Is Truthfully a Problem for OPEC+</t>
  </si>
  <si>
    <t>https://www.bloomberg.com/opinion/articles/2024-12-02/the-wrong-oil-price-is-truthfully-a-problem-for-opec</t>
  </si>
  <si>
    <t>The sentiment is 'bearish' because the headline suggests that the current oil price is too high for OPEC+, implying that the cartel's efforts to manage the market have failed, leading to potential downward pressure on prices.</t>
  </si>
  <si>
    <t>Oil Edges Higher on Weaker Dollar With Focus on OPEC+ Meeting</t>
  </si>
  <si>
    <t>https://www.bloomberg.com/news/articles/2024-12-01/latest-oil-market-news-and-analysis-for-dec-2</t>
  </si>
  <si>
    <t>The sentiment is 'bullish' because a weaker dollar tends to boost oil prices as it makes commodities denominated in the currency more attractive to holders of other currencies, which in this case could offset any potential bearish effects from the OPEC+ meeting.</t>
  </si>
  <si>
    <t>FIGURE 3. Illustrations of WTI daily closing prices and first-order...</t>
  </si>
  <si>
    <t>https://www.researchgate.net/figure/llustrations-of-WTI-daily-closing-prices-and-first-order-differenced-series_fig4_355862891</t>
  </si>
  <si>
    <t>The sentiment is 'unrelated' because the headline appears to be a neutral, factual description of a chart or graph related to WTI daily closing prices, without expressing any emotion, opinion, or sentiment towards the oil market or industry.</t>
  </si>
  <si>
    <t>Brent shy of $73, US WTI sheds over 4% in 5 days on easing supply risk: Goldman Sachs in favor of OPEC+ cuts</t>
  </si>
  <si>
    <t>https://www.livemint.com/market/commodities/brent-shy-of-73-us-wti-sheds-over-4-in-5-days-on-easing-supply-risk-goldman-sachs-in-favor-of-opec-cuts-11732961034741.html</t>
  </si>
  <si>
    <t>The sentiment is 'bearish' because the headline suggests that oil prices are declining, with US WTI shedding over 4% in 5 days, indicating a downward trend in the market, which is a bearish signal.</t>
  </si>
  <si>
    <t>Oil settles down as ease of supply risks drives weekly loss</t>
  </si>
  <si>
    <t>https://www.reuters.com/business/energy/oil-prices-mixed-amid-accusations-breaches-israel-hezbollah-ceasefire-2024-11-29/</t>
  </si>
  <si>
    <t>The sentiment is 'bearish' because the headline implies that the oil market is declining due to increased supply, which is a fundamental bearish factor that suggests prices may continue to fall.</t>
  </si>
  <si>
    <t>â€˜I look like a design serial killerâ€™: Queer Eyeâ€™s Jeremiah Brent talks taste</t>
  </si>
  <si>
    <t>https://www.ft.com/content/dafd229f-92f6-4e33-b262-0fdf3f5fc6fc</t>
  </si>
  <si>
    <t>The sentiment is 'unrelated' because the headline appears to be about a TV personality's views on design and taste, which has no connection or relevance to the oil market or energy sector, making it an unrelated topic.</t>
  </si>
  <si>
    <t>Robust Fuel Markets Are Throwing a Lifeline to Gloomy Oil Bulls</t>
  </si>
  <si>
    <t>https://www.google.com/url?sa=t&amp;rct=j&amp;q=&amp;esrc=s&amp;source=newssearch&amp;cd=&amp;ved=2ahUKEwij2qayvJeMAxVSTmwGHd8vIkQ4UBDF9AEoAHoECAkQAQ&amp;url=https%3A%2F%2Fwww.bnnbloomberg.ca%2Fbusiness%2Finternational%2F2024%2F11%2F28%2Frobust-fuel-markets-are-throwing-a-lifeline-to-gloomy-oil-bulls%2F&amp;usg=AOvVaw1QlZt5lbc325p2LOnCOp7P&amp;opi=89978449</t>
  </si>
  <si>
    <t>The sentiment is 'bullish' because the phrase "throwing a lifeline" implies that the robust fuel markets are providing a much-needed boost to oil prices, which would be a positive development for oil bulls, indicating a potential upward trend in the market.</t>
  </si>
  <si>
    <t>Oil Steady as Likely OPEC+ Delay Countered by Cease-Fire Deal</t>
  </si>
  <si>
    <t>https://www.bloomberg.com/news/articles/2024-11-26/latest-oil-market-news-and-analysis-for-november-27</t>
  </si>
  <si>
    <t>The sentiment is 'neutral/uncertain' because the headline suggests that two opposing forces - a potential OPEC+ delay, which could be bearish for oil prices, and a cease-fire deal, which could be bullish - are canceling each other out, leaving the market with no clear direction or bias.</t>
  </si>
  <si>
    <t>Chinaâ€™s EV Boom Threatens to Push Gasoline Demand Off a Cliff</t>
  </si>
  <si>
    <t>https://www.bloomberg.com/news/articles/2024-11-28/china-s-ev-boom-threatens-to-push-gasoline-demand-off-a-cliff</t>
  </si>
  <si>
    <t>The sentiment is 'bearish' because the rapid growth of electric vehicles in China, the world's largest oil consumer, implies a significant decline in gasoline demand, which would negatively impact oil prices and the overall oil industry.</t>
  </si>
  <si>
    <t>Trump Treasury Nomineeâ€™s Oil Math Doesnâ€™t Add Up</t>
  </si>
  <si>
    <t>https://www.wsj.com/business/energy-oil/trump-scott-bessent-oil-production-e004de84</t>
  </si>
  <si>
    <t>The sentiment is 'bearish' because the implication that the Trump Treasury nominee's oil math doesn't add up suggests a lack of understanding or mismanagement of the oil market, which could lead to unfavorable policies that negatively impact the oil industry and prices.</t>
  </si>
  <si>
    <t>OPECâ€™s Dilemma: Another Year of Oil Supply Curbs or Price Slump</t>
  </si>
  <si>
    <t>https://www.bloomberg.com/news/articles/2024-11-27/opec-s-dilemma-another-year-of-oil-supply-curbs-or-price-slump</t>
  </si>
  <si>
    <t>The sentiment is 'bearish' because the headline implies that OPEC faces a difficult choice between two unattractive options, either maintaining supply curbs, which may not be sustainable, or risking a price slump, which would negatively impact oil producers.</t>
  </si>
  <si>
    <t>Trumpâ€™s Oil and Gas Math Fails to Add Up</t>
  </si>
  <si>
    <t>https://www.bloomberg.com/opinion/articles/2024-11-27/trump-s-oil-and-gas-math-fails-to-add-up</t>
  </si>
  <si>
    <t>The sentiment is 'bearish' because the headline suggests that Trump's policies or claims related to the oil and gas industry are misguided or incorrect, which could imply a negative outlook for the sector and potentially lead to downward pressure on prices.</t>
  </si>
  <si>
    <t>One of the Hottest Stocks in the Oil Patch Is a Defunct 19th-Century Railroad - WSJ</t>
  </si>
  <si>
    <t>https://news.google.com/rss/articles/CBMixAFBVV95cUxQTk1SWnJWWE9WVzN6d3VZelhnMjFmVndfMzlDQjVIRlF6Smlwdk9RRVdIZU1kTUxoVVJsVXZIa09ldW96TDNWQUZaUTlBdGFoYlkxSm40TTdFUEZvRGhpV2lianBRNmViM1ZnRkFxdGlDdnVHSno1NTVjQjRfaFJIRGpQaGdDRzE5M0lTWGhFZ3hZZ25ibjcxdGJNbTZKR211Z3hFaldZTHgxaldYcS11RWNiQ1NORjJROTY5RkZTMGNCelBM?oc=5</t>
  </si>
  <si>
    <t>The sentiment is 'unrelated' because the headline appears to be discussing a unique and unusual circumstance, a defunct 19th-century railroad, being touted as a hot stock in the oil patch, which doesn't convey a clear positive, negative, or neutral sentiment about the oil market or industry, making it an unrelated sentiment.</t>
  </si>
  <si>
    <t>Oil producers warn Trump tariffs on Canada will push up US petrol prices</t>
  </si>
  <si>
    <t>https://www.ft.com/content/920fb296-3ffe-4793-a0c6-669da6f1a66e</t>
  </si>
  <si>
    <t>The sentiment is not 'bullish' because the headline suggests that tariffs on Canada, a major oil exporter to the US, will increase petrol prices in the US, which is a fundamentally bearish signal for the oil market as it implies reduced demand and potential market disruption.</t>
  </si>
  <si>
    <t>Australia CPI Gauge Misses Estimate as RBA Set to Stand Pat</t>
  </si>
  <si>
    <t>https://www.bloomberg.com/news/articles/2024-11-27/australia-cpi-gauge-comes-in-below-estimate-amid-tight-policy</t>
  </si>
  <si>
    <t>The sentiment is 'unrelated' because the headline is about Australia's Consumer Price Index (CPI) and its impact on the Reserve Bank of Australia's (RBA) monetary policy decision, which has no direct connection to the oil market.</t>
  </si>
  <si>
    <t>Russiaâ€™s Seaborne Crude Exports Fall by the Most Since July</t>
  </si>
  <si>
    <t>https://www.bloomberg.com/news/articles/2024-11-26/russia-s-oil-exports-fall-by-the-most-since-july-with-30-more-ships-sanctioned</t>
  </si>
  <si>
    <t>The sentiment is not 'bullish' because a decline in Russia's seaborne crude exports would likely lead to a reduction in global oil supply, which would support higher oil prices, making the sentiment bearish rather than bullish.</t>
  </si>
  <si>
    <t>Oil Plunges as Israel Moves Closer to Cease-Fire With Hezbollah</t>
  </si>
  <si>
    <t>https://www.bloomberg.com/news/articles/2024-11-24/latest-oil-market-news-and-analysis-for-nov-25</t>
  </si>
  <si>
    <t>The sentiment is 'bearish' because a cease-fire agreement would likely lead to a reduction in geopolitical tensions in the Middle East, which could increase oil supplies and put downward pressure on oil prices.</t>
  </si>
  <si>
    <t>Secret Russian Oil Switching Gets New Greek Hotspot After Drills</t>
  </si>
  <si>
    <t>https://www.bloomberg.com/news/articles/2024-11-25/secret-russian-oil-switching-gets-new-greek-hotspot-after-drills</t>
  </si>
  <si>
    <t>The sentiment is 'bullish' because the discovery of a new Greek hotspot for Russian oil switching, combined with the success of recent drills, suggests increased flexibility and resilience in the global oil supply chain, potentially leading to reduced price volatility and increased market stability.</t>
  </si>
  <si>
    <t>J.P. Morgan sees Brent oil price averaging $73 a barrel in 2025</t>
  </si>
  <si>
    <t>https://www.reuters.com/business/energy/jp-morgan-sees-brent-oil-price-averaging-73-barrel-2025-2024-11-22/</t>
  </si>
  <si>
    <t>The sentiment is 'bullish' because a price forecast of $73 a barrel in 2025 suggests that J.P. Morgan expects oil prices to remain relatively strong and stable in the medium term, which is a positive outlook for oil producers and investors.</t>
  </si>
  <si>
    <t>Dow Jones senior VP Jones is departing</t>
  </si>
  <si>
    <t>https://talkingbiznews.com/media-news/dow-jones-senior-vp-jones-is-departing/</t>
  </si>
  <si>
    <t>The sentiment is 'unrelated' because the news of a senior VP departing from the Dow Jones has no direct implications or correlation with the oil market, and therefore does not influence the demand or supply of oil, making it an unrelated event.</t>
  </si>
  <si>
    <t>Oil prices settle up 1% at 2-week high as Ukraine war intensifies</t>
  </si>
  <si>
    <t>https://www.reuters.com/business/energy/oil-rises-intensifying-ukraine-war-increases-supply-risk-2024-11-22/</t>
  </si>
  <si>
    <t>The sentiment is 'bullish' because the price increase to a 2-week high, driven by the intensification of the Ukraine war, suggests that market participants are becoming more optimistic about the demand for oil and are willing to bid up prices in response to the heightened geopolitical tensions.</t>
  </si>
  <si>
    <t>Only OPEC Can Help the US Bring Down Energy Prices, McNally Says</t>
  </si>
  <si>
    <t>https://www.bloomberg.com/news/videos/2024-11-22/opec-is-only-way-to-increase-oil-supply-mcnally-says-video</t>
  </si>
  <si>
    <t>The sentiment is 'bullish' because the implication that OPEC has the ability to bring down energy prices suggests that the cartel may be willing to increase production and ease the current supply constraints, which would be a positive development for the US economy and energy markets.</t>
  </si>
  <si>
    <t>Palmâ€™s Reign as the World's 'Everything Oil' Is Being Challenged</t>
  </si>
  <si>
    <t>https://www.bloomberg.com/news/newsletters/2024-11-21/palm-s-reign-as-the-world-s-everything-oil-is-being-challenged</t>
  </si>
  <si>
    <t>The sentiment is 'bearish' because the headline suggests that palm oil, which has long been a dominant player in the global oil market, is losing its market share and influence, implying a decline in its value or importance.</t>
  </si>
  <si>
    <t>Oil Rises on Signs of Further Escalation in Russia-Ukraine War</t>
  </si>
  <si>
    <t>https://www.bloomberg.com/news/articles/2024-11-20/latest-oil-market-news-and-analysis-for-november-21</t>
  </si>
  <si>
    <t>The sentiment is 'bullish' because the headline suggests that the escalating conflict between Russia and Ukraine may lead to supply disruptions or sanctions that could restrict oil exports from the region, thereby driving up prices.</t>
  </si>
  <si>
    <t>Chinese Refiners Pay More for Iranian Oil as Supply Declines</t>
  </si>
  <si>
    <t>https://www.bloomberg.com/news/articles/2024-11-22/chinese-refiners-pay-more-for-iranian-oil-as-supply-declines</t>
  </si>
  <si>
    <t>The sentiment is not 'bullish' because the headline suggests that Chinese refiners are paying more for Iranian oil due to supply declines, which implies a tightening of the oil market and potential price increases, but it does not necessarily indicate a positive outlook for the oil market overall, as higher prices can be detrimental to demand and the broader economy.</t>
  </si>
  <si>
    <t>Goldman Sachs expects oil prices to average around $80/bbl in 2024</t>
  </si>
  <si>
    <t>https://www.reuters.com/business/energy/goldman-sachs-expects-oil-prices-average-around-80bbl-2024-2024-11-22/</t>
  </si>
  <si>
    <t>The sentiment is 'bullish' because an expectation of $80/bbl oil prices in 2024 implies a relatively high and supportive price environment that would be favorable to oil producers and likely boost their profitability.</t>
  </si>
  <si>
    <t>UK Says Fake Certificates Used to Dodge Sanctions on Russian Oil</t>
  </si>
  <si>
    <t>https://www.bloomberg.com/news/articles/2024-11-21/uk-says-fake-certificates-used-to-dodge-sanctions-on-russian-oil</t>
  </si>
  <si>
    <t>The sentiment is 'bearish' because the revelation of fake certificates being used to dodge sanctions on Russian oil suggests that the global supply of oil may be disrupted, leading to potential price increases and decreased investment in the oil sector.</t>
  </si>
  <si>
    <t>Nigeriaâ€™s Dangote Plant Buys US Oil for First Time in 3 Months</t>
  </si>
  <si>
    <t>https://www.google.com/url?sa=t&amp;rct=j&amp;q=&amp;esrc=s&amp;source=newssearch&amp;cd=&amp;ved=2ahUKEwja9PqSoZWMAxX5S2wGHQG8NN44ChDF9AEoAHoECA8QAQ&amp;url=https%3A%2F%2Fwww.bnnbloomberg.ca%2Finvesting%2F2024%2F11%2F20%2Fnigerias-dangote-plant-buys-us-oil-for-first-time-in-3-months%2F&amp;usg=AOvVaw0X8mAZ1Yvrzf9u7fEeLu9d&amp;opi=89978449</t>
  </si>
  <si>
    <t>The sentiment is 'bullish' because the news suggests an increase in demand for oil from a major refinery in Nigeria, which could lead to higher oil prices and a more optimistic outlook for the oil market.</t>
  </si>
  <si>
    <t>Oil Traders Price In Trumpâ€™s Foreign Policy as Bearish for Crude</t>
  </si>
  <si>
    <t>https://www.bloomberg.com/news/articles/2024-11-20/oil-traders-price-in-trump-s-foreign-policy-as-bearish-for-crude</t>
  </si>
  <si>
    <t>The sentiment is 'bearish' because Trump's foreign policy, particularly his tendency to impose trade sanctions and engage in geopolitical tensions, is likely to reduce global oil demand and increase supply, putting downward pressure on crude prices.</t>
  </si>
  <si>
    <t>US Treasury Flags Risks in Any New Cross-Border Payments Systems</t>
  </si>
  <si>
    <t>https://www.bloomberg.com/news/articles/2024-11-19/us-treasury-flags-risks-in-any-new-cross-border-payments-systems</t>
  </si>
  <si>
    <t>The sentiment is 'bearish' because the headline suggests that the US Treasury is expressing caution and highlighting potential risks in new cross-border payments systems, implying that the implementation or adoption of such systems may be hindered or delayed, which could negatively impact market confidence and sentiment.</t>
  </si>
  <si>
    <t>Nowâ€™s the Time to Toughen Russia Oil Sanctions: Oil Strategy</t>
  </si>
  <si>
    <t>https://www.bloomberg.com/news/articles/2024-11-21/now-s-the-time-to-toughen-russia-oil-sanctions-oil-strategy</t>
  </si>
  <si>
    <t>The sentiment is 'bullish' because implementing tougher oil sanctions on Russia could lead to a reduction in global oil supply, which would likely drive up prices and benefit oil producers and exporters.</t>
  </si>
  <si>
    <t>US Crude Market Signals Glut for First Time in Nine Months</t>
  </si>
  <si>
    <t>https://www.bloomberg.com/news/articles/2024-11-18/us-crude-market-signals-oversupply-for-first-time-in-nine-months</t>
  </si>
  <si>
    <t>The sentiment is 'bearish' because a glut in the US crude market implies an oversupply of oil, which would put downward pressure on prices, negatively impacting oil producers and investors.</t>
  </si>
  <si>
    <t>The Clandestine Oil Shipping Hub Funneling Iranian Crude to China</t>
  </si>
  <si>
    <t>https://www.bloomberg.com/graphics/2024-iran-south-china-sea-oil-trade/</t>
  </si>
  <si>
    <t>The sentiment is not 'bullish' because the headline suggests illegal or illicit activities, which could imply a lack of transparency, instability, and potential risks to the oil market, rather than a positive or optimistic outlook.</t>
  </si>
  <si>
    <t>Oil settles flat as escalation of Ukraine war counters Sverdrup field restart</t>
  </si>
  <si>
    <t>https://www.reuters.com/business/energy/oil-prices-ease-caution-prevails-over-russia-ukraine-war-2024-11-19/</t>
  </si>
  <si>
    <t>The sentiment is 'unrelated' because the headline presents two separate and distinct factors, the escalation of the Ukraine war and the restart of the Sverdrup field, that are impacting oil prices in opposite directions, thereby canceling each other out and resulting in a flat settlement.</t>
  </si>
  <si>
    <t>Trump team aims to bankrupt Iran with new â€˜maximum pressureâ€™ plan</t>
  </si>
  <si>
    <t>https://www.ft.com/content/3710bf14-010e-412d-83c7-b07773d6a45f</t>
  </si>
  <si>
    <t>The sentiment is not 'bullish' because the headline suggests that the US aims to severely curtail Iran's oil exports, which would reduce global supply and likely drive up oil prices, making it bearish for the oil market, not bullish.</t>
  </si>
  <si>
    <t>Dangote seeks billions to boost crude supplies at new Nigerian refinery</t>
  </si>
  <si>
    <t>https://www.ft.com/content/27ccee49-490c-4657-a700-8ebc4fd8d45e</t>
  </si>
  <si>
    <t>The sentiment is 'bullish' because the article suggests that Dangote, a prominent player in the Nigerian oil industry, is investing in increasing crude supplies at its new refinery, implying a potential increase in refining capacity and potentially higher output, which could positively impact the country's energy security and economy.</t>
  </si>
  <si>
    <t>Oil Heads for Weekly Drop as Glut Concerns and Dollar Take Toll</t>
  </si>
  <si>
    <t>https://www.bloomberg.com/news/articles/2024-11-14/latest-oil-market-news-and-analysis-for-november-15</t>
  </si>
  <si>
    <t>The sentiment is 'bearish' because the headline highlights the negative impact of glut concerns and a strong dollar on oil prices, suggesting a downward pressure on the market.</t>
  </si>
  <si>
    <t>Oil settles down 2% on weaker Chinese demand, uncertainty over Fed rate cut</t>
  </si>
  <si>
    <t>https://www.reuters.com/business/energy/oil-dips-oversupply-concerns-heads-weekly-loss-2024-11-15/</t>
  </si>
  <si>
    <t>The sentiment is 'bearish' because the headline cites weaker Chinese demand, a key indicator of global oil consumption, and uncertainty over a potential Fed rate cut, which could further dampen economic growth and subsequently reduce oil demand.</t>
  </si>
  <si>
    <t>World faces oil surplus in 2025 on weak demand, IEA says - Reuters</t>
  </si>
  <si>
    <t>https://news.google.com/rss/articles/CBMilgFBVV95cUxQNV9aY3dnLVJzbk5aVE9HTVNSeF9JQ1B2MTk3TFE4ZEVQMjc0VExUWklPNnBnM0ZvWC15U3NKX05ZNi1tOGF3bVRNMUlXZ0todTNEb1U0UDFycjg1cDMzeWZnVzF3eEQ5cWF3QldOTHhaM2xST2hjenVwdnYtc2lYV29qaGZ0eDNTWWV6LV9aOGxmYnRRWlE?oc=5</t>
  </si>
  <si>
    <t>The sentiment is 'bearish' because a predicted oil surplus implies a potential oversupply in the market, which could lead to downward pressure on oil prices and negatively impact oil-producing countries and companies.</t>
  </si>
  <si>
    <t>Oil settles slightly higher, investors focus on steep draw in fuel stocks</t>
  </si>
  <si>
    <t>https://www.reuters.com/business/energy/oil-prices-edge-down-forecasts-higher-oil-output-weak-demand-growth-weigh-2024-11-14/</t>
  </si>
  <si>
    <t>The sentiment is 'bullish' because a steep draw in fuel stocks suggests a higher demand for oil products, which can lead to increased crude oil prices, supporting the slightly higher settlement.</t>
  </si>
  <si>
    <t>Global Oil Market Faces a Million-Barrel Glut Next Year, the IEA Says</t>
  </si>
  <si>
    <t>https://www.bloomberg.com/news/articles/2024-11-14/global-oil-market-faces-a-million-barrel-glut-next-year-the-iea-says</t>
  </si>
  <si>
    <t>The sentiment is 'bearish' because a million-barrel glut in the global oil market would increase supply, putting downward pressure on prices and benefiting consumers, but hurting oil producers and refiners, which is generally viewed as a negative development for the oil industry.</t>
  </si>
  <si>
    <t>Oil Drops With Mideast Outlook and Surging Dollar to the Fore</t>
  </si>
  <si>
    <t>https://www.bloomberg.com/news/articles/2024-11-13/latest-oil-market-news-and-analysis-for-november-14</t>
  </si>
  <si>
    <t>The sentiment is 'bearish' because the headline indicates that oil prices are declining due to concerns about the Middle East outlook and a strengthening US dollar, which suggests a negative outlook for oil prices.</t>
  </si>
  <si>
    <t>Chinese Teapot Opts for African Crude Over Iranian, Russia Flows</t>
  </si>
  <si>
    <t>https://www.bloomberg.com/news/articles/2024-11-14/chinese-teapot-opts-for-african-crude-over-iranian-russia-flows</t>
  </si>
  <si>
    <t>The sentiment is 'unrelated' because the headline appears to be a factual report on a specific teapot's crude oil sourcing decisions, lacking any emotional tone, opinion, or sentiment that would sway a reader's emotions or perspective.</t>
  </si>
  <si>
    <t>Oil rebounds slightly on short-covering as strong dollar caps gains</t>
  </si>
  <si>
    <t>https://www.reuters.com/business/energy/oil-trims-losses-tight-near-term-supply-2024-11-13/</t>
  </si>
  <si>
    <t>The sentiment is 'unrelated' because the headline merely reports on a specific market movement without expressing a clear positive, negative, or neutral emotional tone, focusing instead on providing factual information about the oil market's rebound and the factors influencing it.</t>
  </si>
  <si>
    <t>History of Oil Prices</t>
  </si>
  <si>
    <t>https://www.investopedia.com/history-of-oil-prices-4842834</t>
  </si>
  <si>
    <t>The sentiment is 'unrelated' because a "History of Oil Prices" headline is a neutral and factual title that doesn't express a positive, negative, or neutral emotion, making it objectively unrelated to sentiment analysis.</t>
  </si>
  <si>
    <t>Oil Steadies Near November Lows With Outlook for Demand in Focus</t>
  </si>
  <si>
    <t>https://www.bloomberg.com/news/articles/2024-11-12/latest-oil-market-news-and-analysis-for-november-13</t>
  </si>
  <si>
    <t>The sentiment is 'bearish' because the phrase "near November lows" implies that oil prices are hovering around recent multi-month lows, suggesting a lack of upward momentum and a bearish tone, while the focus on the outlook for demand adds uncertainty and potentially negativity to the market sentiment.</t>
  </si>
  <si>
    <t>Russiaâ€™s Seaborne Crude Flows Rebound on Higher Arctic Shipments</t>
  </si>
  <si>
    <t>https://www.bloomberg.com/news/articles/2024-11-12/russia-s-oil-exports-rebound-on-higher-shipments-from-arctic-fields</t>
  </si>
  <si>
    <t>The sentiment is 'bullish' because an increase in Russia's seaborne crude flows, driven by higher Arctic shipments, suggests a potential boost to global oil supply, which could help alleviate concerns about tight supplies and put downward pressure on oil prices.</t>
  </si>
  <si>
    <t>Kazakhstan Again Misses OPEC+ Target for Cutting Oil Output</t>
  </si>
  <si>
    <t>https://www.bloomberg.com/news/articles/2024-11-12/kazakhstan-again-misses-opec-target-for-cutting-oil-output</t>
  </si>
  <si>
    <t>The sentiment is 'bearish' because Kazakhstan's failure to meet its output reduction target implies that the global oil market may remain oversupplied, exerting downward pressure on prices.</t>
  </si>
  <si>
    <t>Oil prices hold near 2-week low after OPEC cuts demand view, dollar rises</t>
  </si>
  <si>
    <t>https://www.google.com/url?sa=t&amp;rct=j&amp;q=&amp;esrc=s&amp;source=newssearch&amp;cd=&amp;cad=rja&amp;uact=8&amp;ved=2ahUKEwi0qKrUnJCNAxU9xTgGHZRPJNM4bhDF9AEoAHoECAgQAQ&amp;url=https%3A%2F%2Fwww.reuters.com%2Fbusiness%2Fenergy%2Foil-prices-hold-their-ground-after-falling-china-stimulus-2024-11-12%2F&amp;usg=AOvVaw2aXDfWszbUq7pzKOMWADwy&amp;opi=89978449</t>
  </si>
  <si>
    <t>The sentiment is 'bearish' because the headline suggests that OPEC has reduced its demand view, which implies a weaker outlook for oil consumption and therefore lower prices, while the strengthening dollar also tends to put downward pressure on oil prices.</t>
  </si>
  <si>
    <t>OPEC Cuts Global Oil Demand Growth Forecasts For a Fourth Consecutive Month</t>
  </si>
  <si>
    <t>https://www.bloomberg.com/news/articles/2024-11-12/opec-cuts-global-oil-demand-growth-forecasts-for-a-fourth-consecutive-month</t>
  </si>
  <si>
    <t>The sentiment is 'bearish' because a fourth consecutive month of cuts to global oil demand growth forecasts implies a persistent weakening of demand, which could lead to a surplus of oil in the market and put downward pressure on prices.</t>
  </si>
  <si>
    <t>Oil Drops for Second Day With China Outlook and Demand in Focus</t>
  </si>
  <si>
    <t>https://www.bloomberg.com/news/articles/2024-11-10/latest-oil-market-news-and-analysis-for-nov-11</t>
  </si>
  <si>
    <t>The sentiment is 'bearish' because the headline suggests that oil prices are falling due to concerns about demand from China, a major consumer of oil, implying a weakening outlook for oil prices.</t>
  </si>
  <si>
    <t>Jones will not seek another Dow Jones News Fund board term</t>
  </si>
  <si>
    <t>https://talkingbiznews.com/media-news/jones-will-not-seek-another-dow-jones-news-fund-board-term/</t>
  </si>
  <si>
    <t>The sentiment is 'unrelated' because the headline appears to be about a person not seeking re-election to a board term for a news fund organization, which has no apparent connection to the oil market or any related topics that would be of interest to an oil market analyst.</t>
  </si>
  <si>
    <t>Oil Steadies After Election Jolt as Traders Weigh Trumpâ€™s Impact</t>
  </si>
  <si>
    <t>https://www.bloomberg.com/news/articles/2024-11-06/latest-oil-market-news-and-analysis-for-nov-7</t>
  </si>
  <si>
    <t>The sentiment is 'unrelated' because the headline is simply stating that the oil market is stabilizing after an initial reaction to the election result, without expressing a clear positive, negative, or neutral opinion about the impact of Trump's presidency on the oil market.</t>
  </si>
  <si>
    <t>Vitol plans metals move to hedge against decline in crude demand</t>
  </si>
  <si>
    <t>https://www.ft.com/content/6958c963-1b1d-40fb-85ee-5df08f3d74c0</t>
  </si>
  <si>
    <t>The sentiment is 'bearish' because Vitol's move to diversify into metals is a strategic response to anticipated weaker demand for crude oil, implying a pessimistic outlook for the oil market.</t>
  </si>
  <si>
    <t>Oil settles lower as US dollar surges, investors take stock of Trump victory</t>
  </si>
  <si>
    <t>https://www.reuters.com/business/energy/wti-crude-oil-futures-fall-polls-start-closing-us-election-2024-11-06/</t>
  </si>
  <si>
    <t>The sentiment is 'bearish' because a stronger US dollar, which typically makes oil more expensive for foreign buyers and thus reduces demand, combined with uncertainty surrounding President Trump's policies, is likely to weigh on oil prices, leading to a negative outlook.</t>
  </si>
  <si>
    <t>Commodities Slide as Trump Win Boosts Dollar, Threatens Trade</t>
  </si>
  <si>
    <t>https://www.bloomberg.com/news/articles/2024-11-05/latest-oil-market-news-and-analysis-for-nov-6</t>
  </si>
  <si>
    <t>The sentiment is 'bearish' because a strong dollar and potential trade disruptions resulting from a Trump presidency could lead to decreased demand and lower prices for commodities, including oil.</t>
  </si>
  <si>
    <t>Oil Imports Into China Decline Again as Top Buyer Cuts Back</t>
  </si>
  <si>
    <t>https://www.bloomberg.com/news/articles/2024-11-07/the-world-s-biggest-oil-buyer-is-cutting-back-on-crude-imports</t>
  </si>
  <si>
    <t>The sentiment is 'bearish' because a decline in oil imports into China, the world's largest oil importer, signals weaker demand and potentially lower prices in the global oil market.</t>
  </si>
  <si>
    <t>Oil Traders Hedge Against $100 Prices With US Election Underway</t>
  </si>
  <si>
    <t>https://www.bloomberg.com/news/articles/2024-11-05/oil-traders-hedge-against-100-prices-with-us-election-underway</t>
  </si>
  <si>
    <t>The sentiment is 'bullish' because the headline implies that investors are preparing for potentially higher oil prices, which could be driven by geopolitical uncertainty surrounding the US election, suggesting a positive outlook on oil prices.</t>
  </si>
  <si>
    <t>Aramco Cuts Oil Prices to Asia for December After OPEC+ Delay</t>
  </si>
  <si>
    <t>https://www.bloomberg.com/news/articles/2024-11-05/aramco-cuts-oil-prices-to-asia-for-december-after-opec-delay</t>
  </si>
  <si>
    <t>The sentiment is 'unrelated' because the headline is primarily reporting a specific event or action taken by Aramco (cutting oil prices to Asia for December) as a result of an OPEC+ decision, rather than expressing a clear emotional tone or opinion, such as positivity, negativity, or neutrality, which would indicate a related sentiment.</t>
  </si>
  <si>
    <t>Oil Steadies With Middle East Tensions and US Election in Focus</t>
  </si>
  <si>
    <t>https://www.bloomberg.com/news/articles/2024-11-04/latest-oil-market-news-and-analysis-for-nov-5</t>
  </si>
  <si>
    <t>The sentiment is 'unrelated' because the headline is simply stating that oil prices are steady due to the balancing effects of two separate factors - Middle East tensions, which are typically bullish for oil prices, and the US election, which may have uncertain or neutral implications for the oil market.</t>
  </si>
  <si>
    <t>South Africa Gasoline Price to Rise for First Time in Six Months</t>
  </si>
  <si>
    <t>https://www.bloomberg.com/news/articles/2024-11-04/south-africa-gasoline-price-to-rise-for-first-time-in-six-months</t>
  </si>
  <si>
    <t>The sentiment is not 'bullish' because a price increase in South Africa would likely lead to higher costs for consumers and industries, potentially hurting demand and ultimately putting downward pressure on oil prices, rather than being a bullish indicator.</t>
  </si>
  <si>
    <t>European Gas Prices Follow Oil Higher Amid Windless Weather</t>
  </si>
  <si>
    <t>https://www.bloomberg.com/news/articles/2024-11-04/european-gas-prices-follow-oil-higher-amid-windless-weather</t>
  </si>
  <si>
    <t>The sentiment is 'bullish' because the headline suggests that gas prices are rising due to a combination of factors, including the increase in oil prices and unfavorable weather conditions, which are likely to support demand and limit supply, thereby boosting prices.</t>
  </si>
  <si>
    <t>Oil Gains as OPEC+ Further Delays Output Hike - WSJ</t>
  </si>
  <si>
    <t>https://news.google.com/rss/articles/CBMimwFBVV95cUxNcjlRRE1NY2JJLXBkY05xTXRwSXhhS19HRUR3ZW5YUjZuc3FQYzlvRWtDb2F3cGFaamFPdXBtNF8tU3lhVEotSldiM243QkZxUm1fOGlCVmxaZjA2aTRLZFNGQ2RoYW1rOEF6a2Q0dkMtUkYybHpVTDZhYUZfbVctblo0S29FcE5RZ3FzTHNrVW9Yd0NUbV9tYWstdw?oc=5</t>
  </si>
  <si>
    <t>The sentiment is 'bullish' because the delay in increasing oil production by OPEC+ suggests that the cartel is taking a cautious approach to managing global supply, which could lead to higher prices in the short term.</t>
  </si>
  <si>
    <t>Oil jumps nearly 3% after OPEC+ delays output hike, US election in focus</t>
  </si>
  <si>
    <t>https://www.reuters.com/markets/commodities/oil-prices-rise-by-over-1-opec-output-hike-delay-2024-11-04/</t>
  </si>
  <si>
    <t>The sentiment is 'bullish' because the delayed output hike by OPEC+ implies a tighter supply scenario, which is typically supportive of higher oil prices, and therefore, justifies the 3% jump in oil prices.</t>
  </si>
  <si>
    <t>Oil Rises as OPEC+ Delays Output Hike and Iran Steps Up Rhetoric - Bloomberg.com</t>
  </si>
  <si>
    <t>https://news.google.com/rss/articles/CBMinAFBVV95cUxQSW85YkNQT3doMWtzVld6c1d1NnVlWi0yWjd4MHJvdTJEb0VRUGVya2RGZlhQVC0tcU02dTBydzFMQ2dCVGVOaEVlR0ZnQjJWZDR0ZVVvTXUwazFKbmJad2tOSmpBLXhfX0x5RktpNjktM0tyTEVOencteVM3QUxRU3gtQmNxTTh1ZTRzTUs1Mk85LTZqUnhqSmlmVDE?oc=5</t>
  </si>
  <si>
    <t>The sentiment is 'bullish' because the headline suggests that OPEC+ is delaying an increase in oil production, which would have put downward pressure on prices, and Iran's rhetoric is likely perceived as a sign of tensions that could disrupt supply and support prices.</t>
  </si>
  <si>
    <t>Markets Seem Surprisingly Unbothered by Geopolitics</t>
  </si>
  <si>
    <t>https://www.bloomberg.com/news/articles/2024-11-01/why-oil-prices-fell-in-the-wake-of-israel-s-attack-on-iran</t>
  </si>
  <si>
    <t>The sentiment is 'bullish' because the headline suggests that despite geopolitical tensions, which often disrupt oil supplies and drive prices up, markets are remaining calm, implying that the impact of these tensions on oil prices is being mitigated, leading to a more positive outlook for the market.</t>
  </si>
  <si>
    <t>Oil Was Written Off. Now Itâ€™s the Most Productive US Industry</t>
  </si>
  <si>
    <t>https://www.bloomberg.com/news/features/2024-10-31/why-oil-is-outpacing-tech-as-the-most-productive-us-industry</t>
  </si>
  <si>
    <t>The sentiment is 'bullish' because the headline suggests that the oil industry has made a significant turnaround, implying a positive outlook and potential for continued growth and investment opportunities in the sector.</t>
  </si>
  <si>
    <t>Oil Rallies on Report Iran Is Planning Israel Attack Via Proxies</t>
  </si>
  <si>
    <t>https://www.bloomberg.com/news/articles/2024-10-31/latest-oil-market-news-and-analysis-for-november-1</t>
  </si>
  <si>
    <t>The sentiment is 'bullish' because the potential for a conflict in the Middle East, particularly one involving Iran, could disrupt oil supplies and drive up prices, making the headline supportive of higher oil prices.</t>
  </si>
  <si>
    <t>Emirates Adds Capacity, Bigger Jets to China Amid Higher Demand</t>
  </si>
  <si>
    <t>https://www.bloomberg.com/news/articles/2024-11-01/emirates-adds-capacity-bigger-jets-to-china-amid-higher-demand</t>
  </si>
  <si>
    <t>The sentiment is 'bullish' because increased air travel demand and capacity additions, particularly to a large and growing market like China, typically indicate a strong economy and rising consumer confidence, which would translate to higher energy demand and prices.</t>
  </si>
  <si>
    <t>Macquarie Dips After Profit Misses Estimates on Weak Markets</t>
  </si>
  <si>
    <t>https://www.bloomberg.com/news/articles/2024-10-31/macquarie-profit-misses-estimates-as-market-unit-takes-hit</t>
  </si>
  <si>
    <t>The sentiment is 'bearish' because the headline explicitly states that Macquarie's profit missed estimates, which implies a negative impact on the company's financial performance, leading to a downward pressure on its stock price.</t>
  </si>
  <si>
    <t>Oil Steadies After Two-Day Decline on Fading Middle East Risk</t>
  </si>
  <si>
    <t>https://www.bloomberg.com/news/articles/2024-10-29/latest-oil-market-news-and-analysis-for-october-30</t>
  </si>
  <si>
    <t>The sentiment is 'unrelated' because the headline focuses on the stabilization of oil prices due to a decrease in Middle East risk, which is a neutral market development rather than a explicitly positive or negative event, thus not conveying a clear emotional tone.</t>
  </si>
  <si>
    <t>Brent Crude Drops 5% after Israel Refrains from Attacking Iranâ€™s Refining Facilities</t>
  </si>
  <si>
    <t>https://www.thisdaylive.com/index.php/2024/10/29/brent-crude-drops-5-after-israel-refrains-from-attacking-irans-refining-facilities/</t>
  </si>
  <si>
    <t>The sentiment is 'bearish' because the avoidance of a potential conflict that could have disrupted oil supplies from Iran, a major oil producer, has reduced the perceived risk premium in the market, leading to a decrease in oil prices.</t>
  </si>
  <si>
    <t>Russiaâ€™s Crude Shipments Advance for Second Consecutive Week</t>
  </si>
  <si>
    <t>https://www.bloomberg.com/news/articles/2024-10-29/russia-s-oil-exports-advance-for-second-consecutive-week</t>
  </si>
  <si>
    <t>The sentiment is 'bullish' because an increase in Russia's crude shipments suggests a potential increase in global oil supply, which could lead to higher refinery runs, lower inventory levels, and ultimately, higher oil prices.</t>
  </si>
  <si>
    <t>Oil May Spike After US Election on Mideast Risk, StanChart Warns</t>
  </si>
  <si>
    <t>https://www.bloomberg.com/news/articles/2024-10-30/oil-may-spike-after-us-election-on-mideast-risk-stanchart-warns</t>
  </si>
  <si>
    <t>The sentiment is 'bullish' because the headline suggests that the price of oil may increase after the US election due to potential heightened geopolitical risks in the Middle East, which could lead to supply disruptions and drive up prices.</t>
  </si>
  <si>
    <t>As Crude Fades, Big Oil Must Borrow to Pay Investors</t>
  </si>
  <si>
    <t>https://www.bloomberg.com/news/articles/2024-10-28/as-crude-fades-big-oil-must-borrow-to-pay-investors</t>
  </si>
  <si>
    <t>The sentiment is 'bearish' because the headline suggests that Big Oil companies are struggling to generate sufficient cash flow from their core operations and are therefore forced to take on debt to meet their dividend obligations to investors, implying a negative outlook for their financial health and profitability.</t>
  </si>
  <si>
    <t>Oil prices tumble after Israel refrains from attacking Iranâ€™s refining facilities</t>
  </si>
  <si>
    <t>https://www.ft.com/content/6e8baad9-a897-44a4-87d4-8eef780885eb</t>
  </si>
  <si>
    <t>The sentiment is 'bearish' because the headline implies that a potential catalyst for supply disruptions and higher prices (an attack on Iran's refining facilities) has been avoided, leading to a decrease in oil prices.</t>
  </si>
  <si>
    <t>Oil Plunges as Israel Limits Iran Strike to Military Targets</t>
  </si>
  <si>
    <t>https://www.bloomberg.com/news/articles/2024-10-27/brent-falls-5-at-open-after-israel-strikes-avoid-iranian-crude</t>
  </si>
  <si>
    <t>The sentiment is 'bearish' because the limitation of the strike to military targets implies a reduced risk of a broader conflict that could disrupt oil supplies, leading to a decline in oil prices.</t>
  </si>
  <si>
    <t>Oilâ€™s Big Options Bets Turn Worthless as Iran Risk Fades</t>
  </si>
  <si>
    <t>https://www.bloomberg.com/news/articles/2024-10-28/oil-s-big-bullish-options-bets-turn-worthless-as-iran-risk-fades</t>
  </si>
  <si>
    <t>The sentiment is 'bearish' because the headline suggests that the removal of Iran risk has led to a decrease in oil prices, making previously bullish bets on oil options worthless, implying a downward trend in the oil market.</t>
  </si>
  <si>
    <t>Stock Market News, Oct. 28, 2024: Oil Prices Tumble; Dow, S&amp;P 500 Close Higher - WSJ</t>
  </si>
  <si>
    <t>https://news.google.com/rss/articles/CBMijAFBVV95cUxNbmM0UDZpckNTRVZhSU1fM1M0Qno3TUUzeV9zaExZMjI1ZHZyWVVpd0ZBTzFnSlZhdEx5b3pBcExJRHBpZmFrODRQamp1djVaNGVHV2U5NVJSNm4tVVBneVpjeUZneUNCLXlEMmNBOTZGZENEUWZoRU40Wk1QTmhBVF9aOU9mLUtWMDQ4bQ?oc=5</t>
  </si>
  <si>
    <t>The sentiment is not 'bearish' because despite oil prices tumbling, which might be expected to negatively impact the market, the Dow and S&amp;P 500 actually closed higher, suggesting a more mixed or even positive market outlook.</t>
  </si>
  <si>
    <t>Markets â€˜far too bearishâ€™ on oil, Eric Nuttall says as crude tumbles</t>
  </si>
  <si>
    <t>https://www.bnnbloomberg.ca/investing/commodities/2024/10/28/markets-far-too-bearish-on-oil-eric-nuttall-says-as-crude-tumbles/</t>
  </si>
  <si>
    <t>The sentiment is 'bullish' because Eric Nuttall's statement suggests that the current market pessimism towards oil prices is overstated, implying that the prices may bounce back or rise, which is a positive outlook.</t>
  </si>
  <si>
    <t>Oil's War Premium Will Fade After Israel's Iran Strike</t>
  </si>
  <si>
    <t>https://www.bloomberg.com/opinion/articles/2024-10-26/oil-s-war-premium-will-fade-after-israel-s-limited-iran-strike</t>
  </si>
  <si>
    <t>The sentiment is 'bearish' because the headline suggests that the premium in oil prices driven by geopolitical tensions and fears of supply disruptions following Israel's strike on Iran will eventually dissipate, implying a potential decline in oil prices.</t>
  </si>
  <si>
    <t>Oil settles up, weekly gain 4% as investors weigh Middle East risk and US election</t>
  </si>
  <si>
    <t>https://www.reuters.com/business/energy/oil-heads-weekly-gain-middle-east-tensions-keep-traders-edge-2024-10-25/</t>
  </si>
  <si>
    <t>The sentiment is 'bullish' because the 4% weekly gain in oil prices indicates that investors are willing to take on more risk and bid up prices, likely driven by concerns over Middle East supply disruptions and potential upside from a shifting political landscape following the US election.</t>
  </si>
  <si>
    <t>Oil prices ease on possible new Middle East ceasefire talks</t>
  </si>
  <si>
    <t>https://www.reuters.com/markets/commodities/oil-prices-edge-higher-track-3-weekly-gain-2024-10-24/</t>
  </si>
  <si>
    <t>The sentiment is 'bearish' because a potential ceasefire in the Middle East would likely lead to increased oil supply, which could put downward pressure on prices, as geopolitical tensions are often a key driver of oil price increases.</t>
  </si>
  <si>
    <t>Oil Steadies After Drop With Supply Outlook and Mideast in Focus</t>
  </si>
  <si>
    <t>https://www.bloomberg.com/news/articles/2024-10-23/latest-oil-market-news-and-analysis-for-october-24</t>
  </si>
  <si>
    <t>The sentiment is 'unrelated' because the headline is simply reporting on the current state of the oil market, providing a neutral and factual summary of the market's stability in light of supply outlook and Middle East developments, without expressing any emotion, opinion, or bias.</t>
  </si>
  <si>
    <t>Exclusive | Russia Provided Targeting Data for Houthi Assault on Global Shipping - WSJ</t>
  </si>
  <si>
    <t>https://news.google.com/rss/articles/CBMipgFBVV95cUxPbHQ5ckZvZHJPbGVlSnJTaDJFRXV4cGhvNDk1Rl9ENHZzNVVUZ0loRzQ1NkxJRnpIUGpzVzFmZkxUWjdEOXBtbEkxTVp5dmdnMEZvZnlDUm9EeldBUHZPbDNNblljQkRnNnRiaFo0end4YjBSakxNWXkzN3huWHh0ZTh5RVlsR0dxb2JtaGhnaDV6QXNyUlFVTVdWOGZaYTJqS1EtaVN3?oc=5</t>
  </si>
  <si>
    <t>The sentiment is not 'bullish' because a headline suggesting that Russia provided targeting data for a Houthi assault on global shipping likely implies increased geopolitical tensions and potential disruptions to global oil supplies, which would be bearish for oil prices, not bullish.</t>
  </si>
  <si>
    <t>Saudi Oil Export Revenue Slumps to Lowest in Over Three Years</t>
  </si>
  <si>
    <t>https://www.bloomberg.com/news/articles/2024-10-24/saudi-oil-export-revenue-slumps-to-lowest-in-over-three-years</t>
  </si>
  <si>
    <t>The sentiment is 'bearish' because a slump in Saudi oil export revenue to its lowest level in over three years suggests a decrease in global oil demand, which could lead to a supply glut and further downward pressure on oil prices.</t>
  </si>
  <si>
    <t>Oil Falls as Oversupply Signals Outweigh Middle East War Risk</t>
  </si>
  <si>
    <t>https://www.bnnbloomberg.ca/investing/2024/10/23/oil-steadies-after-drop-with-supply-outlook-and-mideast-in-focus/</t>
  </si>
  <si>
    <t>The sentiment is 'bearish' because the headline suggests that the market is more concerned about the oversupply of oil, which tends to put downward pressure on prices, rather than the potential risk of supply disruptions due to Middle East tensions, which could drive prices up.</t>
  </si>
  <si>
    <t>Latin American Oil Finds New Buyers as Canadian Pipeline Shifts Flows</t>
  </si>
  <si>
    <t>https://www.bloomberg.com/news/articles/2024-10-23/latin-american-oil-finds-new-buyers-as-pipeline-shifts-flows</t>
  </si>
  <si>
    <t>The sentiment is 'bullish' because the headline suggests that Latin American oil is finding new buyers, which implies increased demand and potentially higher prices, a positive development for oil producers in the region.</t>
  </si>
  <si>
    <t>Oil slips 1% on large build in US crude stocks; market watches Middle East</t>
  </si>
  <si>
    <t>https://www.reuters.com/markets/commodities/oil-prices-slip-rising-us-crude-inventories-2024-10-23/</t>
  </si>
  <si>
    <t>The sentiment is 'bearish' because a large build in US crude stocks implies a surplus of supply in the market, which would put downward pressure on oil prices, validating the 1% slip in value.</t>
  </si>
  <si>
    <t>Oil Declines as Traders Look to US Stockpiles and Middle East</t>
  </si>
  <si>
    <t>https://www.bloomberg.com/news/articles/2024-10-22/latest-oil-market-news-and-analysis-for-october-23</t>
  </si>
  <si>
    <t>The sentiment is 'bearish' because the mention of US stockpiles and Middle East in the headline suggests that the market is expecting an increase in supply, which would put downward pressure on oil prices.</t>
  </si>
  <si>
    <t>Oil Traders Flock to Options Like Never Before on Mideast Risk</t>
  </si>
  <si>
    <t>https://www.bloomberg.com/news/articles/2024-10-23/oil-traders-flock-to-options-like-never-before-on-middle-east-risk</t>
  </si>
  <si>
    <t>The sentiment is 'bullish' because the increased demand for options suggests that traders are seeking to hedge against potential price increases, implying that they anticipate higher oil prices in the future due to the perceived Mideast risk.</t>
  </si>
  <si>
    <t>Oil settles up 2% as Middle East war rages and supplies tighten</t>
  </si>
  <si>
    <t>https://www.reuters.com/business/energy/oil-prices-trim-middle-east-war-risk-gains-china-demand-remains-worry-2024-10-22/</t>
  </si>
  <si>
    <t>The sentiment is 'bullish' because the combination of escalated geopolitical tensions in the Middle East and tightening supplies is likely to lead to higher oil prices, which would favor buyers and investors in the oil market.</t>
  </si>
  <si>
    <t>Russiaâ€™s Seaborne Crude Shipments Rise to the Highest Since June</t>
  </si>
  <si>
    <t>https://www.bloomberg.com/news/articles/2024-10-22/russia-s-oil-exports-advance-to-the-highest-since-june</t>
  </si>
  <si>
    <t>The sentiment is not 'bearish' because an increase in Russia's seaborne crude shipments to the highest level since June implies increased global oil supply, which could actually put downward pressure on prices and be bullish for the market, rather than bearish.</t>
  </si>
  <si>
    <t>CEO Probes Hit Share Prices</t>
  </si>
  <si>
    <t>https://www.bloomberg.com/news/newsletters/2024-10-21/wisetech-mineral-resources-qantas-payouts-australia-briefing</t>
  </si>
  <si>
    <t>The sentiment is 'bearish' because the phrase "CEO Probes Hit Share Prices" implies that investigations into the CEO's actions are negatively impacting the company's stock performance, suggesting a downward pressure on the stock price.</t>
  </si>
  <si>
    <t>Chinaâ€™s Steel Output and Crude Oil Refining Continue to Slump</t>
  </si>
  <si>
    <t>https://www.bloomberg.com/news/articles/2024-10-18/china-s-steel-output-and-crude-oil-refining-continue-to-slump</t>
  </si>
  <si>
    <t>The sentiment is 'bearish' because a slump in China's steel output and crude oil refining suggests reduced economic activity and lower demand for oil, which would put downward pressure on oil prices.</t>
  </si>
  <si>
    <t>Oil prices fall, weekly 7% drop on China demand woes, mixed Mideast outlook</t>
  </si>
  <si>
    <t>https://www.reuters.com/business/energy/oil-edges-up-track-biggest-weekly-loss-over-month-2024-10-18/</t>
  </si>
  <si>
    <t>The sentiment is 'bearish' because the headline explicitly cites a 7% weekly drop in oil prices, which is a significant decline, and attributes it to China demand woes, implying a weakening of a key driver of global oil demand, which is a negative signal for the market.</t>
  </si>
  <si>
    <t>Historic Preservation Is Having a Renaissance. Meet the Man Driving It</t>
  </si>
  <si>
    <t>https://www.bloomberg.com/news/features/2024-10-17/brent-leggs-of-national-trust-action-fund-is-leading-wave-of-black-preservation</t>
  </si>
  <si>
    <t>The sentiment is 'unrelated' because the headline appears to be discussing historic preservation and a specific individual, which has no apparent connection to the oil market or energy industry, making it an unrelated topic for an oil market analyst.</t>
  </si>
  <si>
    <t>Oil prices edge higher on US crude stockpiles draw</t>
  </si>
  <si>
    <t>https://www.reuters.com/business/energy/oil-inches-up-after-surprise-drop-us-crude-stockpiles-2024-10-17/</t>
  </si>
  <si>
    <t>The sentiment is 'bullish' because a draw in US crude stockpiles, which means a decrease in inventory levels, suggests a tighter market balance and increased demand, which is typically supportive of higher oil prices.</t>
  </si>
  <si>
    <t>Stock Market News, Oct. 17, 2024: Travelers Drives Dow Industrials to Another Record - WSJ</t>
  </si>
  <si>
    <t>https://news.google.com/rss/articles/CBMijAFBVV95cUxPQmN2UXEzallUQi15YW45bGREWDByeHVVNzZUR3MybnRuTlJOSWNoY3NidDluSnpnVmllVjVLMmFVZW9Hak1zRjlMdzF3YzZQQjdINFNHQTM3Y0ZSRTBCMTdQYnBoVGF3Tk9YLVY3U1NoVFFWbUF4b2d4Y0NrRUsyUGRyN29lM010S1Y3cQ?oc=5</t>
  </si>
  <si>
    <t>The sentiment is 'bullish' because the headline suggests that the Dow Industrials reached another record high, which is a strong indication of a positive market trend, driven in this case by Travelers' performance.</t>
  </si>
  <si>
    <t>TSX pushes to new record highs</t>
  </si>
  <si>
    <t>https://www.bnnbloomberg.ca/video/shows/the-close/2024/10/17/tsx-pushes-to-new-record-highs/</t>
  </si>
  <si>
    <t>The sentiment is 'bullish' because a record-high TSX suggests a strong overall market performance, indicating investor confidence and optimism, which is likely driven by positive economic indicators, corporate earnings, and/or central bank policies that support growth.</t>
  </si>
  <si>
    <t>End of the Oil Age Beckons for Top Forecaster - Bloomberg.com</t>
  </si>
  <si>
    <t>https://news.google.com/rss/articles/CBMisgFBVV95cUxOME1JeEZmV2VHU3hURTZCRW55Wm1tV3pjN3RVWUVETnkycEZVcm1wMUZtNU1hXzQzUk44VHlxS0dibFNmcFpkRHZfVV9JeVplY3l5TUxyd3VTOHVVMHdFSXR1X1JIWDVBQlJmZ3g1emhXbWdtVzZvTlVoQ0ExTC1JdU55U0tONE0ydDhmM05PZnI1dV9hdUFSWncyZlk5VHNOd3JXU3NxQklqdnRoSVQ3bVVn?oc=5</t>
  </si>
  <si>
    <t>The sentiment is 'bearish' because the headline suggests that a prominent forecaster is predicting a decline or end to the dominance of oil, implying a negative outlook for the oil industry and potentially lower prices or reduced demand.</t>
  </si>
  <si>
    <t>Why Oil Traders Have Become So Pessimistic About 2025</t>
  </si>
  <si>
    <t>https://www.bloomberg.com/news/articles/2024-10-16/why-oil-traders-have-become-so-pessimistic-about-2025</t>
  </si>
  <si>
    <t>The sentiment is 'bearish' because the headline suggests that oil traders are expecting a downturn in the market, likely due to concerns about oversupply, weaker demand, or other negative factors that could weigh on oil prices in 2025.</t>
  </si>
  <si>
    <t>End of the Oil Age Beckons for Top Forecaster</t>
  </si>
  <si>
    <t>https://www.bloomberg.com/news/newsletters/2024-10-16/end-of-the-oil-age-beckons-for-international-energy-agency</t>
  </si>
  <si>
    <t>The sentiment is 'bearish' because the headline suggests that the top forecaster is predicting a decline or end to the dominance of oil, which would likely lead to a decrease in oil prices and have a negative impact on the oil industry.</t>
  </si>
  <si>
    <t>How Abu Dhabiâ€™s national oil company is planning for the energy transition</t>
  </si>
  <si>
    <t>https://www.ft.com/content/9983be98-8a6e-4edd-be28-3eb866a9f6c7</t>
  </si>
  <si>
    <t>The sentiment is not 'bearish' because the headline suggests that Abu Dhabi's national oil company is proactively planning for the energy transition, which implies a forward-thinking and adaptive approach, rather than a negative or pessimistic outlook.</t>
  </si>
  <si>
    <t>Russiaâ€™s Oil Exports at Three-Month High as Works Crimp Refining</t>
  </si>
  <si>
    <t>https://www.bloomberg.com/news/articles/2024-10-15/russia-oil-exports-remain-steady-amid-refinery-maintenance</t>
  </si>
  <si>
    <t>The sentiment is not 'bearish' because the headline suggests that Russia's oil exports are increasing, which could lead to a surplus of oil in the global market, but it's actually a sign of refining capacity constraints rather than a fundamental increase in oil supply, which might not have a significant impact on oil prices.</t>
  </si>
  <si>
    <t>Crude oil tumbles as Middle East fears recede</t>
  </si>
  <si>
    <t>https://www.ft.com/content/720bb920-a546-4f5a-b77e-5328419037bf</t>
  </si>
  <si>
    <t>The sentiment is 'bearish' because the headline implies that the removal of Middle East fears, which were previously supporting prices, is now leading to a decline in crude oil prices, indicating a negative outlook for the market.</t>
  </si>
  <si>
    <t>Oilâ€™s Recent Spike Kicked Off Rush of Hedging by Producers</t>
  </si>
  <si>
    <t>https://www.bloomberg.com/news/articles/2024-10-15/oil-price-spike-sparked-rush-of-hedging-by-producers</t>
  </si>
  <si>
    <t>The sentiment is 'bearish' because the increase in hedging activity by producers suggests that they are expecting future prices to fall, which implies a downward pressure on the market.</t>
  </si>
  <si>
    <t>Crude Oil Prices Slide More Than 4%</t>
  </si>
  <si>
    <t>https://www.wsj.com/livecoverage/stock-market-today-dow-sp500-nasdaq-live-10-15-2024/card/crude-oil-prices-slide-nU31ub38twOyEwl7w2tV</t>
  </si>
  <si>
    <t>The sentiment is 'bearish' because a 4% slide in crude oil prices suggests a significant downward movement in the market, indicating a negative outlook for oil prices and potentially benefiting consumers and importers at the expense of producers and exporters.</t>
  </si>
  <si>
    <t>Stock Market News, Oct. 15, 2024: Slump in Chip Stocks Weighs on Indexes - WSJ</t>
  </si>
  <si>
    <t>https://news.google.com/rss/articles/CBMijAFBVV95cUxOQ05yOVpFU3ZKeS1jNk1HNi0wX1BvTnQ4LVdQWlNVSUNFb1JSaGNRbm0yV21rcUdKWl91M3JZb3VoNmliVW1ueG1FM2dFZlY3YTU0cFJfYnJYY19UamV0cHpSdlhjb2NXRnJ6VHA5RkRGbTZwSURYekZybmRQd3dSb0R3UTFQZFFHZzkwbg?oc=5</t>
  </si>
  <si>
    <t>The sentiment is 'unrelated' because this headline is specifically about the stock market and chip stocks, which has no direct connection to the oil market, making it an unrelated topic for an oil market analyst.</t>
  </si>
  <si>
    <t>Oil plunges 4% as Iran supply disruption concerns ease, demand outlook weakens</t>
  </si>
  <si>
    <t>https://www.reuters.com/business/energy/oil-prices-drop-2-demand-concerns-israel-comments-2024-10-15/</t>
  </si>
  <si>
    <t>The sentiment is 'bearish' because the headline indicates a decline in oil prices, driven by easing concerns over Iranian supply disruptions and a weakening demand outlook, both of which are fundamentally negative factors for the oil market.</t>
  </si>
  <si>
    <t>Saudi Arabia tightens its belt</t>
  </si>
  <si>
    <t>https://www.ft.com/content/b50b2763-3435-42f9-8025-8c70ed776957</t>
  </si>
  <si>
    <t>The sentiment is not 'bullish' because a headline indicating Saudi Arabia is "tightening its belt" suggests the Kingdom is preparing for a potential downturn in the economy, possibly due to lower oil prices, which would be a bearish signal for the oil market.</t>
  </si>
  <si>
    <t>Oil falls 2% as OPEC cuts oil demand growth view, China concerns</t>
  </si>
  <si>
    <t>https://www.reuters.com/business/energy/oil-prices-fall-by-more-than-1-chinese-economic-data-2024-10-13/</t>
  </si>
  <si>
    <t>The sentiment is 'bearish' because the headline indicates a downward revision in oil demand growth by OPEC, coupled with concerns over China's economic health, which are likely to weigh on oil prices, implying a negative outlook for the market.</t>
  </si>
  <si>
    <t>Citiâ€™s Australia Chief Says Real Estate Tops Investor Interest</t>
  </si>
  <si>
    <t>https://www.bnnbloomberg.ca/business/2024/10/15/citis-australia-chief-says-real-estate-tops-investor-interest/</t>
  </si>
  <si>
    <t>The sentiment is 'unrelated' because the headline appears to be discussing investor interest in real estate in Australia, which has no apparent connection to the oil market, making it an unrelated topic from an oil market analyst's perspective.</t>
  </si>
  <si>
    <t>Oil Drops at Open on Report Israel Wonâ€™t Attack Iranian Crude</t>
  </si>
  <si>
    <t>https://www.bloomberg.com/news/articles/2024-10-14/oil-drops-at-open-on-report-israel-won-t-attack-iranian-crude</t>
  </si>
  <si>
    <t>The sentiment is 'bearish' because the headline implies that the risk of a potential supply disruption from a conflict has decreased, which would lead to lower oil prices.</t>
  </si>
  <si>
    <t>Oil Falls After China Briefing With Eyes on Israel-Iran Conflict - Bloomberg.com</t>
  </si>
  <si>
    <t>https://news.google.com/rss/articles/CBMingFBVV95cUxPa0hueldoYjVpMGNOYXhvTVA3Vm5kSHlaeHAwNFBTWWh4MTQ2dndMSUlJa2RuRllpMFdwaVhfaVlOeFl4QkNhN2dsb1JSWndMMUxoOE1FY3BwTzRiUU5nT3JrMWRzNE9RT2s5cW9ueE5OTF9jVDE1QktyTHJCSjdNS3RLZ0l2VWU3QXl2SlFRVExoYWNTWDZYdGd3dlV1QQ?oc=5</t>
  </si>
  <si>
    <t>The sentiment is 'bearish' because the headline suggests that oil prices are falling due to a briefing from China, which could imply a decrease in demand from the world's largest oil importer, and the ongoing Israel-Iran conflict is not yet having a significant bullish impact on prices.</t>
  </si>
  <si>
    <t>Five Key Charts to Watch in Global Commodities Markets This Week</t>
  </si>
  <si>
    <t>https://www.bloomberg.com/news/articles/2024-10-13/five-key-charts-to-watch-in-global-commodities-markets-this-week</t>
  </si>
  <si>
    <t>The sentiment is 'unrelated' because the headline does not express a positive, negative, or neutral emotional tone, but rather presents a neutral and informative title that simply highlights the importance of monitoring certain charts in global commodities markets, without taking a stance or making a value judgment.</t>
  </si>
  <si>
    <t>Hedge Funds Dump Bets Against Brent at Fastest Pace in 8 Years</t>
  </si>
  <si>
    <t>https://www.bnnbloomberg.ca/investing/2024/10/11/hedge-funds-dump-bets-against-brent-at-fastest-pace-in-8-years/</t>
  </si>
  <si>
    <t>The sentiment is 'bullish' because the rapid reduction in short positions by hedge funds suggests that market participants are increasingly optimistic about the outlook for Brent prices, implying a potential price increase.</t>
  </si>
  <si>
    <t>Oil Gains as Traders Monitor Middle East While Stockpiles Climb</t>
  </si>
  <si>
    <t>https://www.bloomberg.com/news/articles/2024-10-09/latest-oil-market-news-and-analytics-for-oct-10</t>
  </si>
  <si>
    <t>The sentiment is 'bullish' because despite stockpiles climbing, which would typically be a bearish indicator, the market is focusing on the geopolitical risks in the Middle East, which are supporting oil prices.</t>
  </si>
  <si>
    <t>Bullish Oil Bets Rose Most in Years After Iran Attack Last Week</t>
  </si>
  <si>
    <t>https://www.bloomberg.com/news/articles/2024-10-10/bullish-oil-bets-rose-most-in-years-after-iran-attack-last-week</t>
  </si>
  <si>
    <t>The sentiment is 'bullish' because the increase in bullish oil bets suggests that market participants are expecting higher oil prices, likely due to concerns about supply disruptions and geopolitical tensions following the Iran attack, which could lead to a shortage in global oil supply.</t>
  </si>
  <si>
    <t>Nigeria to Set Naira for Dangote Crude Sales Using Market Rate</t>
  </si>
  <si>
    <t>https://www.bloomberg.com/news/articles/2024-10-09/nigeria-to-set-naira-for-dangote-crude-sales-using-market-rate</t>
  </si>
  <si>
    <t>The sentiment is 'bullish' because this headline suggests that Nigeria is taking a step towards a more market-oriented approach to pricing its currency, which could attract foreign investment and boost the country's oil sector, ultimately benefiting companies like Dangote, which is a positive development for the market.</t>
  </si>
  <si>
    <t>Who and what is driving oil price volatility</t>
  </si>
  <si>
    <t>https://www.ft.com/content/056810ef-1b9d-4641-b111-03b33c22a310</t>
  </si>
  <si>
    <t>The sentiment is 'unrelated' because the headline "Who and what is driving oil price volatility" is a neutral, factual question that does not convey a positive, negative, or emotional tone, and therefore does not express a sentiment.</t>
  </si>
  <si>
    <t>Thailandâ€™s B.Grimm Eyes Clean Power Projects in China and Greece</t>
  </si>
  <si>
    <t>https://www.bnnbloomberg.ca/investing/commodities/2024/10/09/thailands-bgrimm-eyes-clean-power-projects-in-china-and-greece/</t>
  </si>
  <si>
    <t>The sentiment is 'unrelated' because the headline appears to be discussing a Thai company's plans to invest in clean power projects in China and Greece, which does not directly concern or impact the oil market.</t>
  </si>
  <si>
    <t>U.S. crude oil drifts lower today</t>
  </si>
  <si>
    <t>https://www.bnnbloomberg.ca/video/shows/trading-day/2024/10/09/us-crude-oil-drifts-lower-today/</t>
  </si>
  <si>
    <t>The sentiment is 'bearish' because a decline in U.S. crude oil prices suggests a surplus of supply over demand, which can lead to further downward pressure on prices and is generally unfavorable for oil producers and bullish investors.</t>
  </si>
  <si>
    <t>How Israel's Response to Iran Could Impact Oil Markets</t>
  </si>
  <si>
    <t>https://www.bloomberg.com/news/videos/2024-10-08/how-israel-s-response-to-iran-could-impact-oil-markets</t>
  </si>
  <si>
    <t>The sentiment is not 'bullish' because a potential conflict between Israel and Iran could lead to disruptions in oil supplies from the Middle East, driving up prices and creating uncertainty in the market, which is typically bearish for oil prices.</t>
  </si>
  <si>
    <t>Why the Market Shrugs Off the Mother of All Oil Shocks</t>
  </si>
  <si>
    <t>https://www.bloomberg.com/opinion/articles/2024-10-09/iran-israel-and-the-risk-of-oil-disruptions-in-the-middle-east</t>
  </si>
  <si>
    <t>The sentiment is 'bullish' because the article suggests that despite a significant oil shock, the market is resilient and able to absorb the impact without experiencing a major downturn, implying a sense of optimism about the market's ability to navigate challenges.</t>
  </si>
  <si>
    <t>India in rush to boost oil production before energy transition</t>
  </si>
  <si>
    <t>https://www.ft.com/content/139d9626-96a6-427d-85da-5e7d13642a92</t>
  </si>
  <si>
    <t>The sentiment is 'bullish' because the headline suggests that India is taking proactive steps to increase its oil production, which implies a positive outlook for the country's oil industry and potentially higher oil output, revenues, and economic growth.</t>
  </si>
  <si>
    <t>Crude prices slide over 4% on possible Hezbollah-Israel ceasefire</t>
  </si>
  <si>
    <t>https://www.reuters.com/business/energy/oil-edges-lower-after-rallying-highest-over-month-middle-east-war-risk-2024-10-08/</t>
  </si>
  <si>
    <t>The sentiment is 'bearish' because a potential ceasefire between Hezbollah and Israel would reduce the risk premium in oil prices, which had been inflated due to concerns about a potential conflict disrupting Middle East oil supplies.</t>
  </si>
  <si>
    <t>Oil prices extend gains, lifting Brent crude towards $80 on fears of wider Middle East conflict</t>
  </si>
  <si>
    <t>https://www.reuters.com/business/energy/oil-pares-gains-after-strongest-weekly-rise-over-year-2024-10-07/</t>
  </si>
  <si>
    <t>The sentiment is 'bullish' because the headline suggests that oil prices are rising due to increasing geopolitical tensions in the Middle East, which typically leads to supply concerns and supports higher prices.</t>
  </si>
  <si>
    <t>Oil Plunges After Torrid Rally as China Holds Back New Stimulus</t>
  </si>
  <si>
    <t>https://www.bnnbloomberg.ca/business/2024/10/07/oil-gains-as-middle-east-tensions-simmer-ahead-of-china-open/</t>
  </si>
  <si>
    <t>The sentiment is 'bearish' because the headline suggests that the recent rally in oil prices is losing steam due to China's decision to hold back on new stimulus, implying a potential decline in demand and subsequent downward pressure on prices.</t>
  </si>
  <si>
    <t>Oil Turns Higher as Traders Await Israel Response to Iran Strike</t>
  </si>
  <si>
    <t>https://www.google.com/url?sa=t&amp;rct=j&amp;q=&amp;esrc=s&amp;source=newssearch&amp;cd=&amp;ved=2ahUKEwims5XbvpeMAxWJV2wGHZiUJN44bhDF9AEoAHoECA0QAQ&amp;url=https%3A%2F%2Fwww.bloomberg.com%2Fnews%2Farticles%2F2024-10-06%2Flatest-oil-market-news-and-analysis-for-oct-7&amp;usg=AOvVaw1DZTT8qpHOiQdQ-1MW3Hbz&amp;opi=89978449</t>
  </si>
  <si>
    <t>The sentiment is 'bullish' because the headline suggests that traders are expecting a potential escalation in the Middle East conflict, which could lead to supply disruptions and thus higher oil prices.</t>
  </si>
  <si>
    <t>Olive Oil Crunch Eases as Spain Forecasts Crop to Jump by 48%</t>
  </si>
  <si>
    <t>https://www.bloomberg.com/news/articles/2024-10-07/olive-oil-crunch-eases-as-spain-forecasts-crop-to-jump-by-48</t>
  </si>
  <si>
    <t>The sentiment is not 'unrelated' because the headline explicitly conveys a positive outlook for the olive oil market, indicating a bullish sentiment as a significant increase in Spain's olive oil crop is likely to ease supply concerns and put downward pressure on prices.</t>
  </si>
  <si>
    <t>Brent crude surges above $80 as conflict and storm spark supply fears</t>
  </si>
  <si>
    <t>https://www.ft.com/content/6cdb5fc8-7c65-4b71-a123-05b91a47a8a0</t>
  </si>
  <si>
    <t>The sentiment is 'bullish' because the headline suggests that the price of Brent crude is increasing due to supply concerns sparked by conflict and storm, which implies a sense of optimism and upward pressure on oil prices.</t>
  </si>
  <si>
    <t>The Oil Market's Bumper Volatility Won't Go Away Anytime Soon</t>
  </si>
  <si>
    <t>https://www.bloomberg.com/news/newsletters/2024-10-07/oil-market-s-bumper-volatility-won-t-go-away-anytime-soon</t>
  </si>
  <si>
    <t>The sentiment is 'bearish' because the phrase "bumper volatility" implies a high level of uncertainty and price fluctuations, which can be detrimental to investors and market participants, thereby conveying a negative outlook for the oil market.</t>
  </si>
  <si>
    <t>Saudi Stocks Face Rising Risks as Regional Conflict Deepens</t>
  </si>
  <si>
    <t>https://www.bloomberg.com/news/articles/2024-10-06/saudi-stocks-face-rising-risks-as-regional-conflict-deepens</t>
  </si>
  <si>
    <t>The sentiment is 'bearish' because rising regional conflict tends to increase uncertainty and volatility, which can lead to a decrease in investor confidence and subsequently drive stock prices down, especially in a region heavily reliant on oil exports.</t>
  </si>
  <si>
    <t>Oil Bets Most Bullish in Two Years as Mideast Tension Flares</t>
  </si>
  <si>
    <t>https://www.bnnbloomberg.ca/investing/2024/10/06/oil-bets-are-most-bullish-in-two-years-as-mideast-tension-flares/</t>
  </si>
  <si>
    <t>The sentiment is 'bullish' because the increased tension in the Middle East, a region critical to global oil supplies, raises concerns about potential supply disruptions, which can drive up oil prices and support bullish bets on the commodity.</t>
  </si>
  <si>
    <t>Oil Bets Are Most Bullish in Two Years as Mideast Tension Flares</t>
  </si>
  <si>
    <t>https://www.bloomberg.com/news/articles/2024-10-06/oil-bets-are-most-bullish-in-two-years-as-mideast-tension-flares</t>
  </si>
  <si>
    <t>The sentiment is 'bullish' because the increased tension in the Middle East, a region that is home to some of the world's largest oil producers, has heightened geopolitical risks, which typically lead to a rise in oil prices as markets price in potential supply disruptions.</t>
  </si>
  <si>
    <t>Five Key Charts to Watch in Global Commodities This Week</t>
  </si>
  <si>
    <t>https://www.bloomberg.com/news/articles/2024-10-06/five-key-charts-to-watch-in-global-commodity-markets-this-week</t>
  </si>
  <si>
    <t>The sentiment is 'unrelated' because the headline is simply providing a neutral, informative title that does not convey a positive, negative, or neutral emotional tone, and thus does not express a specific sentiment towards the commodities market.</t>
  </si>
  <si>
    <t>Wall Street Week: Getting the World the AI That It Wants</t>
  </si>
  <si>
    <t>https://www.bloomberg.com/news/newsletters/2024-10-05/wall-street-week-getting-the-world-the-ai-that-it-wants</t>
  </si>
  <si>
    <t>The sentiment is 'unrelated' because the headline's focus on AI has no apparent connection to the oil market, which is the area of expertise of an oil market analyst.</t>
  </si>
  <si>
    <t>Saudi Arabia Raises Asia Oil Price as Volatility Grips Market</t>
  </si>
  <si>
    <t>https://www.bloomberg.com/news/articles/2024-10-05/saudi-arabia-raises-asia-oil-price-as-volatility-grips-market</t>
  </si>
  <si>
    <t>The sentiment is not 'bullish' because a price increase, especially in a volatile market, can be seen as a sign of tightening supply or strong demand, which may indicate a more balanced or even bearish market, rather than a bullish one.</t>
  </si>
  <si>
    <t>Watch Strait of Hormuz Closure Could Send Oil Over $100: Morse</t>
  </si>
  <si>
    <t>https://www.bloomberg.com/news/videos/2024-10-04/strait-of-hormuz-closure-could-send-oil-over-100-morse</t>
  </si>
  <si>
    <t>The sentiment is 'bullish' because the headline is suggesting that oil prices could surge above $100, implying a significant increase in value, which is a optimistic outlook for oil investors and producers.</t>
  </si>
  <si>
    <t>October Russian Urals oil prices trade $5/bbl above price cap as Brent rallies, calculations show</t>
  </si>
  <si>
    <t>https://www.reuters.com/business/energy/october-russian-urals-oil-prices-trades-5bbl-above-price-cap-brent-rallies-2024-10-04/</t>
  </si>
  <si>
    <t>The sentiment is 'bullish' because the headline suggests that Russian Urals oil prices are trading above the price cap, which implies a tighter supply situation and upward price pressure, consistent with a bullish market outlook.</t>
  </si>
  <si>
    <t>Oil settles up, biggest weekly gains in over a year on Middle East war risk</t>
  </si>
  <si>
    <t>https://www.reuters.com/markets/commodities/oil-edges-up-middle-east-conflict-supply-outlook-limits-gains-2024-10-04/</t>
  </si>
  <si>
    <t>The sentiment is 'bullish' because the headline implies that oil prices have risen significantly due to increased geopolitical risks in the Middle East, which typically leads to supply disruptions and higher prices, making it a positive development for oil producers and stakeholders.</t>
  </si>
  <si>
    <t>Oil surges after Joe Bidenâ€™s comments on Israeli retaliation</t>
  </si>
  <si>
    <t>https://www.ft.com/content/25f23a03-6ca2-4560-ae53-42ff17e9992a</t>
  </si>
  <si>
    <t>The sentiment is 'bullish' because Joe Biden's comments on Israeli retaliation suggest potential geopolitical tensions and conflicts in the Middle East, which could lead to supply disruptions and drive up oil prices.</t>
  </si>
  <si>
    <t>Goldman eyes Brent outlook rise due to Iranian supply risks</t>
  </si>
  <si>
    <t>https://www.reuters.com/markets/commodities/goldman-eyes-brent-outlook-rise-due-iranian-supply-risks-2024-10-04/</t>
  </si>
  <si>
    <t>The sentiment is 'bullish' because the headline suggests that Goldman Sachs, a reputable financial institution, expects the Brent oil price to rise due to Iranian supply risks, implying a potential increase in crude oil prices.</t>
  </si>
  <si>
    <t>Oil prices log biggest weekly rise in almost 2 years as Middle East tensions mount</t>
  </si>
  <si>
    <t>https://www.ft.com/content/3535c390-289c-4454-8770-35d21a057650</t>
  </si>
  <si>
    <t>The sentiment is 'bullish' because the headline explicitly states that oil prices have logged their biggest weekly rise in almost two years, implying a significant and rare upward movement in prices, which is typically associated with a positive and optimistic market outlook.</t>
  </si>
  <si>
    <t>Oil Options Shows Market Sees Further Price Gains on Middle East Risks</t>
  </si>
  <si>
    <t>https://www.google.com/url?sa=t&amp;rct=j&amp;q=&amp;esrc=s&amp;source=newssearch&amp;cd=&amp;ved=2ahUKEwjtgv2xv5eMAxXzTGwGHZ_4Gm04eBDF9AEoAHoECA0QAQ&amp;url=https%3A%2F%2Fwww.bloomberg.com%2Fnews%2Farticles%2F2024-10-03%2Foil-options-shows-market-sees-further-gains-on-middle-east-risks&amp;usg=AOvVaw0f49JpZTp18CVl8XK6l0n3&amp;opi=89978449</t>
  </si>
  <si>
    <t>The sentiment is 'bullish' because the headline suggests that market participants are pricing in potential future price gains due to increasing risks in the Middle East, implying that they expect oil prices to rise further in response to these geopolitical tensions.</t>
  </si>
  <si>
    <t>Stock Market News, Oct. 3, 2024: Dow Falls; Oil Prices Jump - WSJ</t>
  </si>
  <si>
    <t>https://news.google.com/rss/articles/CBMijAFBVV95cUxOX0FnSGVScnVmWnRGM0xTVHdFbDM1RFVXaHdTMk92WDNYdTQ4eW56cVZRMzdtRnFaQlF4czAwWXBTUkZOMXlBVXZtRHNiQjc2amRZdGVqQjVIY0hZSDctdlFWR1RfVmVUbXhJZ0x1YVRka3pSZXdpX1hTYl9rVnlfU2FmcVdRcEtybW9FeQ?oc=5</t>
  </si>
  <si>
    <t>The sentiment is not 'bullish' because oil prices jumping is not necessarily a positive indicator for the overall market, and the headline also mentions the Dow falling, which suggests a more mixed or even bearish market sentiment.</t>
  </si>
  <si>
    <t>Oil jumps over $3 a barrel as Middle East conflict stokes supply worry</t>
  </si>
  <si>
    <t>https://www.reuters.com/markets/commodities/oil-rises-middle-east-conflict-deepens-gains-capped-by-global-supply-outlook-2024-10-03/</t>
  </si>
  <si>
    <t>The sentiment is 'bullish' because the headline suggests that the price of oil is increasing due to concerns about supply disruptions stemming from the Middle East conflict, which implies a tightening of the market and a potential for further price gains.</t>
  </si>
  <si>
    <t>Hereâ€™s a Map of Iranâ€™s Most Critical Oil and Gas Infrastructure</t>
  </si>
  <si>
    <t>https://www.bloomberg.com/news/articles/2024-10-03/here-s-a-map-of-iran-s-most-critical-oil-and-gas-infrastructure</t>
  </si>
  <si>
    <t>The sentiment is 'bearish' because the publication of a detailed map of Iran's critical oil and gas infrastructure could be perceived as a provocative move, potentially increasing the risk of disruptions to Iran's energy exports and therefore contributing to upward pressure on global oil prices.</t>
  </si>
  <si>
    <t>Oil Soars on Biden Remarks About Possible Israeli Retaliation</t>
  </si>
  <si>
    <t>https://www.bloomberg.com/news/articles/2024-10-02/latest-oil-market-news-and-analysis-for-oct-3</t>
  </si>
  <si>
    <t>The sentiment is 'bullish' because any potential conflict or instability in the Middle East, particularly involving Israel, tends to increase concerns about potential oil supply disruptions, which in turn drives up oil prices.</t>
  </si>
  <si>
    <t>Watch Oil Supply Risk, China Stimulus in Focus for JPMorgan Asset Management's Hui</t>
  </si>
  <si>
    <t>https://www.bloomberg.com/news/videos/2024-10-04/oil-supply-risk-china-stimulus-in-focus-for-jpm-s-hui-video</t>
  </si>
  <si>
    <t>The sentiment is 'bullish' because the mention of "China stimulus" suggests that the article is highlighting the potential for increased demand from China, which would be a positive factor for the oil market, and JPMorgan Asset Management's Hui is likely to be discussing ways to navigate and potentially benefit from this trend.</t>
  </si>
  <si>
    <t>Exclusive | Saudi Minister Warns of $50 Oil as OPEC+ Members Flout Production Curbs</t>
  </si>
  <si>
    <t>https://www.wsj.com/business/energy-oil/saudi-minister-warns-of-50-oil-as-opec-members-flout-production-curbs-216dc070</t>
  </si>
  <si>
    <t>The sentiment is 'bearish' because the headline suggests that OPEC+ members are not adhering to production curbs, which could lead to an oversupply of oil in the market, thereby putting downward pressure on prices, reaching as low as $50.</t>
  </si>
  <si>
    <t>Middle East conflict lifts oil prices despite large US crude build</t>
  </si>
  <si>
    <t>https://www.reuters.com/markets/commodities/oil-prices-rise-more-than-1-escalating-tensions-middle-east-2024-10-01/</t>
  </si>
  <si>
    <t>The sentiment is 'bullish' because despite a large build in US crude inventories, which would typically be bearish for prices, the Middle East conflict has exerted a stronger upward influence on oil prices, indicating that market participants are more concerned about supply disruptions and potential risks to global oil supply.</t>
  </si>
  <si>
    <t>The Oil Price That Matters Now Is $50 a Barrel, Not $100</t>
  </si>
  <si>
    <t>https://www.bloomberg.com/opinion/articles/2024-10-02/the-oil-price-that-matters-now-is-50-a-barrel-not-100</t>
  </si>
  <si>
    <t>The sentiment is 'bearish' because the headline suggests that the new benchmark for oil prices is $50 a barrel, implying that prices have fallen significantly from their previous highs and may not recover anytime soon, which is a negative outlook for oil producers and investors.</t>
  </si>
  <si>
    <t>Oilâ€™s War Premium Roars Back After Iranian Strike on Israel</t>
  </si>
  <si>
    <t>https://www.bloomberg.com/news/articles/2024-10-02/oil-bears-tested-as-iran-attack-brings-back-war-risk-premium</t>
  </si>
  <si>
    <t>The sentiment is 'bullish' because the headline suggests a potential disruption to oil supplies from the Middle East, which could lead to higher oil prices due to increased geopolitical risk premiums.</t>
  </si>
  <si>
    <t>Saudi Arabia Warns Oil Prices Could Drop to $50</t>
  </si>
  <si>
    <t>https://oilprice.com/Energy/Oil-Prices/Saudi-Arabia-Warns-Oil-Prices-Could-Drop-to-50.html</t>
  </si>
  <si>
    <t>The sentiment is 'bearish' because a drop in oil prices to $50 would likely negatively impact oil producers' revenue and profit margins, causing concern for investors and market participants.</t>
  </si>
  <si>
    <t>Exclusive: Brent oil traders use little known rule to reroute US cargoes</t>
  </si>
  <si>
    <t>https://www.reuters.com/business/energy/brent-oil-traders-use-little-known-rule-reroute-us-cargoes-2024-10-01/</t>
  </si>
  <si>
    <t>The sentiment is 'bullish' because the rerouting of US cargoes suggests that demand for oil is strong enough to justify the use of a little-known rule to access supplies, indicating a tight market and potentially higher prices.</t>
  </si>
  <si>
    <t>Stock Market News, Oct. 2, 2024: Dow Edges Higher; Oil Prices Rise Further - WSJ</t>
  </si>
  <si>
    <t>https://news.google.com/rss/articles/CBMijAFBVV95cUxPcFlrRzNVQkZ3NkhNVXpnWWRDSV85Ml9ONC05QksxckZqUzVTOGdoLVRwcC1sazZlekpPellEQXBGdC1mY2c4R2pSbDZuMU1tSDNJdEhVN1ZHSHF6aDIyMDd2TDR3LW80QUFtYThzeDFKY0psYTRpM1BRa2lvVjBjZ29nZ3FzWFliUGhWUA?oc=5</t>
  </si>
  <si>
    <t>The sentiment is 'bullish' because the headline reports the Dow edging higher and oil prices rising further, indicating a positive trend in the stock market and a potential increase in economic activity, which can be seen as a bullish signal for investors and traders.</t>
  </si>
  <si>
    <t>Crude, copper, commodities may steady, if US stocks keep rising | Insights | Bloomberg Professional Services</t>
  </si>
  <si>
    <t>https://www.bloomberg.com/professional/insights/commodities/crude-copper-commodities-may-steady-if-us-stocks-keep-rising/</t>
  </si>
  <si>
    <t>The sentiment is 'bullish' because a rising US stock market is often indicative of a positive economic outlook, which would suggest increased demand for commodities such as crude oil and copper, supporting higher prices.</t>
  </si>
  <si>
    <t>Dollar Rises, Bond Gains Unravel After Jobs Data: Markets Wrap</t>
  </si>
  <si>
    <t>https://www.bloomberg.com/news/articles/2024-10-01/stock-market-today-dow-s-p-live-updates</t>
  </si>
  <si>
    <t>The sentiment is 'bearish' because a rise in the dollar and a reversal of bond gains after a strong jobs report suggests that investors are becoming more risk-averse and seeking safe-haven assets, which is typically a bearish indicator for markets and, by extension, oil prices.</t>
  </si>
  <si>
    <t>Bond Rally Gains Steam as ECB Meets Inflation Goal: Markets Wrap</t>
  </si>
  <si>
    <t>https://www.bloomberg.com/news/articles/2024-09-30/stock-market-today-dow-s-p-live-updates</t>
  </si>
  <si>
    <t>The sentiment is 'unrelated' because the headline is discussing bonds, the European Central Bank (ECB), and inflation, which are all outside the realm of the oil market, making it an unrelated topic for an oil market analyst.</t>
  </si>
  <si>
    <t>Citi Predicts Reforms Could Shield Nigeriaâ€™s Naira From Oil Price Decline</t>
  </si>
  <si>
    <t>https://www.bloomberg.com/news/articles/2024-10-01/nigeria-s-naira-usd-ngn-how-reforms-could-buffer-naira-from-oil-slump</t>
  </si>
  <si>
    <t>The sentiment is 'bullish' because the predicted reforms are expected to mitigate the impact of declining oil prices on Nigeria's currency, implying that the Naira's value will be more resilient than previously thought.</t>
  </si>
  <si>
    <t>Oil Market Underestimating War Risk Premium, Schork Says</t>
  </si>
  <si>
    <t>https://www.bloomberg.com/news/videos/2024-10-01/oil-market-underestimating-war-risk-premium-schork-says-video</t>
  </si>
  <si>
    <t>The sentiment is 'bullish' because the suggestion that the oil market is underestimating the war risk premium implies that prices are likely to rise as the market adjusts to the increased risk, which would be a bullish signal for oil prices.</t>
  </si>
  <si>
    <t>Foreign Inflows to Vietnam Stocks Gain Momentum</t>
  </si>
  <si>
    <t>https://www.bnnbloomberg.ca/investing/2024/10/01/foreign-inflows-to-vietnam-stocks-gain-momentum/</t>
  </si>
  <si>
    <t>The sentiment is 'unrelated' because the headline 'Foreign Inflows to Vietnam Stocks Gain Momentum' appears to be discussing foreign investment in Vietnam's stock market, which has no direct connection to the oil market.</t>
  </si>
  <si>
    <t>Oil Soars After Iran Launches Rockets at Israel in Direct Attack</t>
  </si>
  <si>
    <t>https://www.bloomberg.com/news/articles/2024-09-30/latest-oil-market-news-and-analysis-for-oct-1</t>
  </si>
  <si>
    <t>The sentiment is 'bullish' because geopolitical tensions and supply disruptions in the Middle East, such as a direct attack on Israel by Iran, typically lead to increased oil prices as the market prices in potential supply risks and increased uncertainty.</t>
  </si>
  <si>
    <t>Stock Market News, Oct. 1, 2024: S&amp;P 500 Closes Lower and Oil Climbs as Middle East Conflict Intensifies - WSJ</t>
  </si>
  <si>
    <t>https://news.google.com/rss/articles/CBMijAFBVV95cUxPcmRUUGE0aHRMOUc3WG4yQmJQVlNpZlZ5LUpNWUtZTk1oTFUwOW1teWVRWjJicW1uU3VYcU1LaF9YcU50UzVDM1ZDYmc5U01zb2NtZi03eW1GMHJnZklYczN1SHBKOTFITm9UVnFwYmotaHh1QlpPTDNKMkgzandYaHpIbi1lNzBDLWEtMw?oc=5</t>
  </si>
  <si>
    <t>The sentiment is not 'bullish' because the headline suggests the S&amp;P 500 closes lower, indicating a negative market performance, which contradicts the definition of a "bullish" sentiment, which is typically associated with rising markets and optimism.</t>
  </si>
  <si>
    <t>Rumors of New Saudi Oil Price Target Are Warning to OPEC Cut Violators</t>
  </si>
  <si>
    <t>https://oilprice.com/Energy/Crude-Oil/Rumors-of-New-Saudi-Oil-Price-Target-Are-Warning-to-OPEC-Cut-Violators.html</t>
  </si>
  <si>
    <t>The sentiment is 'bullish' because the rumored price target implies that Saudi Arabia is willing to take a stronger stance against OPEC members that violate production cut agreements, which could lead to tighter oil supplies and higher prices.</t>
  </si>
  <si>
    <t>How the US Lost the Solar Power Race to China</t>
  </si>
  <si>
    <t>https://www.bloomberg.com/graphics/2024-opinion-how-us-lost-solar-power-race-to-china/</t>
  </si>
  <si>
    <t>The sentiment is 'unrelated' because the headline focuses on the solar power industry, which is a sector primarily driven by government policies and renewable energy initiatives, and does not have a direct impact on the oil market, which is the focus of my expertise as an oil market analyst.</t>
  </si>
  <si>
    <t>Oil slumps 17% in Q3 as Middle East conflict offset by slowing demand</t>
  </si>
  <si>
    <t>https://www.reuters.com/markets/commodities/oil-prices-rise-middle-east-supply-risks-israel-steps-up-attacks-2024-09-30/</t>
  </si>
  <si>
    <t>The sentiment is 'bearish' because a 17% slump in oil prices in Q3 suggests a significant downward pressure on prices, which is often driven by a combination of factors including slowing demand and increased supply, indicating a negative outlook for the oil market.</t>
  </si>
  <si>
    <t>Watch Oil to See Gradual Shift Lower Over Sharp Drop: Goldman</t>
  </si>
  <si>
    <t>https://www.bloomberg.com/news/videos/2024-08-28/oil-to-see-gradual-shift-lower-over-sharp-drop-goldman-s-struyven</t>
  </si>
  <si>
    <t>The sentiment is 'bearish' because the headline implies that Goldman expects a significant decline in oil prices, first gradually and then sharply, which would be detrimental to oil producers and bullish investors.</t>
  </si>
  <si>
    <t>Oil reports weekly loss on OPEC+ supply bets against China's fresh stimulus; WTI down 5%, Brent sheds 3% to $71</t>
  </si>
  <si>
    <t>https://www.livemint.com/market/commodities/oil-reports-weekly-loss-on-opec-supply-bets-against-chinas-fresh-stimulus-wti-down-5-brent-sheds-3-to-71-11727523641594.html</t>
  </si>
  <si>
    <t>The sentiment is 'bearish' because the headline highlights a decline in oil prices, specifically a 5% drop in WTI and a 3% drop in Brent, which suggests that market participants are pessimistic about the outlook for oil prices, driven by expectations of increased supply from OPEC+ and despite China's fresh stimulus efforts.</t>
  </si>
  <si>
    <t>US Gulf Coast oil prices to take center stage as exports dominate</t>
  </si>
  <si>
    <t>https://www.reuters.com/markets/commodities/us-gulf-coast-oil-prices-take-center-stage-exports-dominate-2024-09-27/</t>
  </si>
  <si>
    <t>The sentiment is 'bullish' because the headline suggests that US Gulf Coast oil prices will be driven by strong export demand, which is likely to support prices and reduce inventory levels, a positive development for oil producers and bullish for the market.</t>
  </si>
  <si>
    <t>Carlyleâ€™s Currie Sees Risk of Oil-Price Spike After â€˜Carry Tradeâ€™</t>
  </si>
  <si>
    <t>https://www.bloomberg.com/news/articles/2024-08-27/carlyle-s-currie-sees-risk-of-oil-price-spike-after-carry-trade</t>
  </si>
  <si>
    <t>The sentiment is 'bullish' because the article suggests that Carlyle's Currie expects oil prices to spike, implying a potential increase in value, which is a positive outlook for oil investors.</t>
  </si>
  <si>
    <t>Oil Price Expected to Weaken If OPEC+ Hikes Supply</t>
  </si>
  <si>
    <t>https://www.wsj.com/business/energy-oil/oil-price-expected-to-weaken-if-opec-hikes-supply-3686bcf1</t>
  </si>
  <si>
    <t>The sentiment is 'bearish' because an increase in oil supply from OPEC+ would lead to a surplus in the market, putting downward pressure on prices, which is typically viewed as a bearish outcome for oil prices.</t>
  </si>
  <si>
    <t>Why oil prices have plunged 3% today</t>
  </si>
  <si>
    <t>https://markets.businessinsider.com/news/commodities/saudi-arabia-oil-prices-brent-crude-outlook-opec-production-cuts-2024-9</t>
  </si>
  <si>
    <t>The sentiment is 'bearish' because a 3% plunge in oil prices implies a significant downturn in the market, which is often associated with decreased demand, increased supply, or negative market sentiments, all of which would be unfavorable for oil producers and investors.</t>
  </si>
  <si>
    <t>Oil prices slide 3% on prospect of more OPEC+ oil</t>
  </si>
  <si>
    <t>https://www.reuters.com/business/energy/oil-prices-little-changed-us-stockpile-drop-offsets-global-demand-woes-2024-09-26/</t>
  </si>
  <si>
    <t>The sentiment is 'bearish' because a potential increase in OPEC+ oil production would likely lead to a surge in global supply, putting downward pressure on oil prices, which is a negative development for oil producers and bulls in the market.</t>
  </si>
  <si>
    <t>Oil Heads for Deep Weekly Loss on Prospects for Jump in Supply</t>
  </si>
  <si>
    <t>https://www.bloomberg.com/news/articles/2024-09-26/latest-oil-market-news-and-analysis-for-sept-27</t>
  </si>
  <si>
    <t>The sentiment is 'bearish' because the headline implies that an increase in oil supply is expected, which would put downward pressure on prices, leading to a weekly loss.</t>
  </si>
  <si>
    <t>Saudi Arabia ready to abandon $100 crude target to take back market share</t>
  </si>
  <si>
    <t>https://www.ft.com/content/1d186f62-5941-4f9e-aef1-7d93a8a696cd</t>
  </si>
  <si>
    <t>The sentiment is 'bearish' because Saudi Arabia's willingness to abandon its $100 crude target suggests that the kingdom is prepared to flood the market with oil, which could lead to a surplus and put downward pressure on prices.</t>
  </si>
  <si>
    <t>Oil price drops, and BP and Shell shares slide, as Saudi Arabia â€˜prepares to abandon $100 crude targetâ€™ â€“ as it happened</t>
  </si>
  <si>
    <t>https://www.theguardian.com/business/live/2024/sep/26/european-reconstruction-bank-cuts-growth-forecasts-energy-ukraine-elon-musk-uk-investment-summit</t>
  </si>
  <si>
    <t>The sentiment is 'bearish' because the headline suggests that Saudi Arabia, a key influencer in the global oil market, may be abandoning its support for $100 crude oil prices, which could lead to a decrease in oil prices and negatively impact the shares of oil companies like BP and Shell.</t>
  </si>
  <si>
    <t>Oilâ€™s Record Bearishness Shows Market Increasingly Run by Algos</t>
  </si>
  <si>
    <t>https://www.bloomberg.com/news/articles/2024-09-27/oil-s-record-bearishness-shows-market-increasingly-run-by-algos</t>
  </si>
  <si>
    <t>The sentiment is 'bearish' because the headline suggests that the market is increasingly driven by algorithmic trading, which can amplify downward price movements and create a self-reinforcing cycle of selling, leading to further downward pressure on oil prices.</t>
  </si>
  <si>
    <t>FTC Plans to Block Hess CEO From Chevron Board - WSJ</t>
  </si>
  <si>
    <t>https://news.google.com/rss/articles/CBMimwFBVV95cUxPblljbWdYVDRKRDNGNm1QRXU1aENxZW9uVEFMMGRDX3F4RWo4OTJmYmpfZEJBUGpxWmVHdWZKRkl0Y2Y3SktraDhCNndiWDlOenRKMElOMDBGeVVGeU5zRjRiNHZ4dl9iMkRjQ0djaVVwQ3l3ZDNZQzN5dHR5QlZTUlhnNU1aN0FZdl9BVWV6M3NTYk45SS0yd1dIQQ?oc=5</t>
  </si>
  <si>
    <t>The sentiment is 'bearish' because the potential blockage of Hess CEO from joining the Chevron board may indicate regulatory hurdles and uncertainty for the company, which could negatively impact its stock performance and overall oil market sentiment.</t>
  </si>
  <si>
    <t>OPEC+ Confirms it Has No Specific Price Target For Crude Oil</t>
  </si>
  <si>
    <t>https://oilprice.com/Energy/Crude-Oil/OPEC-Confirms-it-Has-No-Specific-Price-Target-For-Crude-Oil.html</t>
  </si>
  <si>
    <t>The sentiment is 'bearish' because the lack of a specific price target implies that OPEC+ is not actively working to support prices, which could lead to further downward pressure on the market.</t>
  </si>
  <si>
    <t>U.S. crude oil falls nearly 3%, closes below $68 on report Saudi committed to production increase</t>
  </si>
  <si>
    <t>https://www.cnbc.com/2024/09/26/crude-oil-prices-today.html</t>
  </si>
  <si>
    <t>The sentiment is 'bearish' because the report of Saudi Arabia's commitment to increasing production suggests an impending surge in supply, which would put downward pressure on oil prices, thereby justifying the 3% decline in U.S. crude oil prices.</t>
  </si>
  <si>
    <t>Oil prices fall amid potential increases in Libyan, Saudi supply</t>
  </si>
  <si>
    <t>https://news.az/news/oil-prices-fall-amid-potential-increases-in-libyan-saudi-supply</t>
  </si>
  <si>
    <t>The sentiment is 'bearish' because the potential increase in Libyan and Saudi supply suggests an impending surge in global oil production, which could lead to a surplus and downward pressure on prices.</t>
  </si>
  <si>
    <t>Saudi Arabia to drop $100 crude target to win back market share, FT reports</t>
  </si>
  <si>
    <t>https://www.reuters.com/business/energy/saudi-arabia-abandon-100-crude-target-take-back-market-share-ft-reports-2024-09-26/</t>
  </si>
  <si>
    <t>The sentiment is 'bearish' because a decrease in crude prices to $100 per barrel, as reported, would likely lead to lower revenue and profitability for oil producers and investors, thereby having a negative impact on the oil market.</t>
  </si>
  <si>
    <t>Your Olive Oil Might Be Unfit for Human Consumption</t>
  </si>
  <si>
    <t>https://www.bloomberg.com/opinion/articles/2024-09-27/is-that-olive-oil-extra-virgin-or-unfit-for-consumption</t>
  </si>
  <si>
    <t>The sentiment is 'unrelated' because the headline is more focused on food safety and quality rather than expressing a positive, negative, or neutral opinion about olive oil or the oil market, making it difficult to classify as having a clear sentiment.</t>
  </si>
  <si>
    <t>Worldâ€™s Most Popular Vegetable Oil Is No Longer the Cheapest</t>
  </si>
  <si>
    <t>https://www.bloomberg.com/news/articles/2024-09-26/world-s-most-popular-vegetable-oil-is-no-longer-the-cheapest</t>
  </si>
  <si>
    <t>The sentiment is not 'unrelated' because the price movement of a specific vegetable oil can have implications for the overall oil market, consumer behavior, and the economy, making it a relevant topic for discussion and analysis in the context of oil market trends.</t>
  </si>
  <si>
    <t>Australiaâ€™s Treasurer Chalmers Heads to China as Fears Grow Over Slowdown</t>
  </si>
  <si>
    <t>https://www.bloomberg.com/news/articles/2024-09-25/australia-s-treasurer-heads-to-china-as-fears-grow-over-slowdown</t>
  </si>
  <si>
    <t>The sentiment is 'bearish' because a slowdown in China, a significant oil consumer, would likely lead to reduced oil demand, placing downward pressure on global oil prices.</t>
  </si>
  <si>
    <t>Oil Holds Gain With Mideast Conflict, China Stimulus in Focus</t>
  </si>
  <si>
    <t>https://www.bloomberg.com/news/articles/2024-09-24/latest-oil-market-news-and-analysis-for-sept-25</t>
  </si>
  <si>
    <t>The sentiment is 'bullish' because the headline suggests that the oil market is being supported by two positive factors, namely the Middle East conflict which could disrupt supply and China's stimulus efforts which could boost demand, thereby driving prices upward.</t>
  </si>
  <si>
    <t>Exclusive | The Two Big Insurers Still Betting on Fossil Fuels - WSJ</t>
  </si>
  <si>
    <t>https://news.google.com/rss/articles/CBMiqwFBVV95cUxNeDZqRzVkdmwxN0tFamhPTjNPakktZTk1b0ZqRzhEbzYtT1lfVUNQSUtteEkzTEFJYVBjVWUzNDFCeTQ2YTJodU9HbGdRd09UV0JLTlhhN3dPNzJsZDNiemQzNUZNQ2I4SjFnQXEzcS1YVXowb0V6XzJHYnZDNTZKQTdjQW9kY1pzY043VFNzTWlNNWdrUFRBamllcHg0Y3hScDA3Rzl2dFhnZUk?oc=5</t>
  </si>
  <si>
    <t>The sentiment is not 'bullish' because the headline suggests that two major insurers are still investing in fossil fuels, which could actually be a negative development for the oil industry as it implies a lack of progress towards sustainable energy sources, rather than a positive one.</t>
  </si>
  <si>
    <t>Eni CEO sees Brent oil price around $80 per barrel in Q4</t>
  </si>
  <si>
    <t>https://www.google.com/url?sa=t&amp;rct=j&amp;q=&amp;esrc=s&amp;source=newssearch&amp;cd=&amp;ved=2ahUKEwjal_CgnpCNAxW74zgGHTZbLwY4ggEQxfQBKAB6BAgKEAE&amp;url=https%3A%2F%2Fwww.reuters.com%2Fbusiness%2Fenergy%2Feni-ceo-sees-brent-oil-price-around-80-per-barrel-q4-2024-09-25%2F&amp;usg=AOvVaw2uMq_LIBAZywVeHm2Oz9SC&amp;opi=89978449</t>
  </si>
  <si>
    <t>The sentiment is 'bullish' because a forecast of $80 per barrel in Q4 implies a potential price increase from current levels, which would be beneficial for oil producers and investors, thereby indicating a positive outlook.</t>
  </si>
  <si>
    <t>Oil Holds Sharp Decline on Signs Libya May Resume Production</t>
  </si>
  <si>
    <t>https://www.bloomberg.com/news/articles/2024-09-25/latest-oil-market-news-and-analysis-for-sept-26</t>
  </si>
  <si>
    <t>The sentiment is 'bearish' because the potential resumption of Libyan oil production would increase global supply, putting downward pressure on oil prices, which is typically seen as negative for oil prices and thus bearish.</t>
  </si>
  <si>
    <t>Oil Edges Higher as Israeli Strikes on Lebanon Raise Nervousness</t>
  </si>
  <si>
    <t>https://www.bloomberg.com/news/articles/2024-09-23/latest-oil-market-news-and-analysis-for-sept-24</t>
  </si>
  <si>
    <t>The sentiment is 'bullish' because the headline suggests that the Israeli strikes on Lebanon have increased nervousness in the market, which can lead to increased oil prices as traders and investors factor in potential disruptions to oil supplies and demand.</t>
  </si>
  <si>
    <t>Oil climbs 2% to three-week high on China stimulus, Mideast conflict</t>
  </si>
  <si>
    <t>https://www.reuters.com/business/energy/oil-prices-rise-concerns-wider-middle-east-conflict-us-storm-2024-09-24/</t>
  </si>
  <si>
    <t>The sentiment is 'bullish' because the headline suggests that oil prices are rising due to positive factors such as China's stimulus efforts, which may boost demand, and Mideast conflict, which may disrupt supply, thereby supporting higher prices.</t>
  </si>
  <si>
    <t>The Cheating Game Inside the OPEC+ Oil Cartel</t>
  </si>
  <si>
    <t>https://www.bloomberg.com/opinion/articles/2024-09-25/the-cheating-game-inside-the-opec-oil-cartel</t>
  </si>
  <si>
    <t>The sentiment is 'bearish' because the headline suggests that the OPEC+ cartel, which has significant influence over the global oil market, is engaging in secretive and potentially destabilizing behavior, which could lead to market volatility and downward pressure on oil prices.</t>
  </si>
  <si>
    <t>Oil settles lower on weak euro zone business activity</t>
  </si>
  <si>
    <t>https://www.reuters.com/markets/commodities/oil-edges-up-following-us-rate-cut-move-geopolitical-concerns-2024-09-23/</t>
  </si>
  <si>
    <t>The sentiment is 'bearish' because the headline suggests that weak euro zone business activity is leading to reduced economic growth, which in turn would decrease demand for oil, causing prices to settle lower.</t>
  </si>
  <si>
    <t>Dangoteâ€™s â€˜Monsterâ€™ Refinery Fuels Fight Over Gasoline Subsidies</t>
  </si>
  <si>
    <t>https://www.bloomberg.com/news/articles/2024-09-24/dangote-s-monster-refinery-fuels-fight-over-gasoline-subsidies</t>
  </si>
  <si>
    <t>The sentiment is 'bullish' because the headline suggests that Dangote's refinery is expected to increase Nigeria's refining capacity, potentially reducing the country's reliance on imported fuel and mitigating the impact of gasoline subsidies, which could lead to a more stable and profitable energy market.</t>
  </si>
  <si>
    <t>Russia Sees Oil and Gas Revenue Shrinking for Next Three Years</t>
  </si>
  <si>
    <t>https://www.bloomberg.com/news/articles/2024-09-23/russia-sees-oil-and-gas-revenue-shrinking-for-next-three-years</t>
  </si>
  <si>
    <t>The sentiment is 'bearish' because a shrinkage in oil and gas revenue suggests a decrease in demand or prices, which would negatively impact Russia's economy and the global oil market, leading to a pessimistic outlook.</t>
  </si>
  <si>
    <t>Oil Steady After Weekly Gain as Middle East Conflict Worsens</t>
  </si>
  <si>
    <t>https://www.bloomberg.com/news/articles/2024-09-22/latest-oil-market-news-and-analysis-for-september-23</t>
  </si>
  <si>
    <t>The sentiment is 'unrelated' because the headline mentions a weekly gain in oil prices, implying a positive trend, while simultaneously reporting an escalation of Middle East conflict, which would typically exert upward pressure on oil prices, hence the steadiness of oil prices in the face of conflicting influences.</t>
  </si>
  <si>
    <t>Billionaire Dangote on Nigeria's Fuel Subsidy, Oil Prices, Soccer</t>
  </si>
  <si>
    <t>https://www.bloomberg.com/news/videos/2024-09-23/dangote-on-nigeria-s-fuel-subsidy-oil-prices-soccer-video</t>
  </si>
  <si>
    <t>The sentiment is 'bullish' because Dangote's comments on fuel subsidy and oil prices likely suggest optimism about the future of the oil industry in Nigeria, which would align with a bullish outlook.</t>
  </si>
  <si>
    <t>Australian Treasurer Expects to See Progress in Inflation Fight</t>
  </si>
  <si>
    <t>https://www.bloomberg.com/news/articles/2024-09-22/australian-treasurer-expects-to-see-progress-in-inflation-fight</t>
  </si>
  <si>
    <t>The sentiment is 'unrelated' because the headline specifically focuses on inflation and monetary policy in Australia, which has no direct connection to the oil market.</t>
  </si>
  <si>
    <t>Oil Steadies as Traders Weigh US Stockpiles and Gaza Talks</t>
  </si>
  <si>
    <t>https://www.bloomberg.com/news/articles/2024-08-20/latest-oil-market-news-and-analysis-for-aug-21</t>
  </si>
  <si>
    <t>The sentiment is 'unrelated' because the headline is presenting two distinct and unrelated pieces of information, US stockpiles and Gaza talks, that may have differing impacts on oil prices, making it difficult to discern a clear bullish or bearish sentiment.</t>
  </si>
  <si>
    <t>Palm Oil May Climb to 4,500 Ringgit on Biofuel Boom, Mistry Says</t>
  </si>
  <si>
    <t>https://www.bloomberg.com/news/articles/2024-09-20/palm-oil-may-climb-to-4-500-ringgit-on-biofuel-boom-mistry-says</t>
  </si>
  <si>
    <t>The sentiment is 'bullish' because the headline explicitly mentions a potential price increase to 4,500 Ringgit, driven by the biofuel boom, implying a positive outlook for palm oil demand and prices.</t>
  </si>
  <si>
    <t>Oil Declines at Weekâ€™s Open With Gaza Talks and China in Focus</t>
  </si>
  <si>
    <t>https://www.bloomberg.com/news/articles/2024-08-18/latest-oil-market-news-and-analysis-for-aug-19</t>
  </si>
  <si>
    <t>The sentiment is 'bearish' because the headline suggests that the ongoing Gaza talks and China's economic concerns may lead to reduced demand for oil, causing prices to decline.</t>
  </si>
  <si>
    <t>Gulf Central Banks Follow Fed Cut as Oil Prices Head to $70</t>
  </si>
  <si>
    <t>https://www.bloomberg.com/news/articles/2024-09-18/gulf-central-banks-follow-fed-cut-as-oil-prices-drop-toward-70</t>
  </si>
  <si>
    <t>The sentiment is 'bullish' because the headline suggests that the cut in interest rates by Gulf Central Banks will boost economic growth, which in turn will increase demand for oil and drive prices higher, thus supporting the notion that oil prices are heading towards $70.</t>
  </si>
  <si>
    <t>Biden Struggles to Refill Oil Reserve on the Cheap</t>
  </si>
  <si>
    <t>https://www.bloomberg.com/news/newsletters/2024-09-17/biden-struggles-to-refill-oil-reserve-on-the-cheap</t>
  </si>
  <si>
    <t>The sentiment is not 'bullish' because a struggling Biden administration to refill oil reserves on the cheap implies that the government may need to purchase oil at higher prices, which could benefit oil producers and sellers, but may also lead to higher energy costs for consumers and businesses, which could have negative implications for the broader economy.</t>
  </si>
  <si>
    <t>Can the drop in crude oil prices spoil the party for MCX? | Stock Market News</t>
  </si>
  <si>
    <t>https://www.livemint.com/market/mark-to-market/crude-oil-prices-mcx-options-transaction-charges-mcx-revenue-stock-market-sebi-wti-11726559252998.html</t>
  </si>
  <si>
    <t>The sentiment is 'bearish' because a drop in crude oil prices could lead to a decrease in trading volumes and revenue for the Multi Commodity Exchange of India (MCX), which could negatively impact its performance and profitability.</t>
  </si>
  <si>
    <t>Northwestern Mutual's Schutte on $2.7B Bond Bet</t>
  </si>
  <si>
    <t>https://www.bloomberg.com/news/videos/2024-09-16/northwestern-mutual-s-schutte-on-2-7b-bond-bet-video</t>
  </si>
  <si>
    <t>The sentiment is 'unrelated' because the headline appears to be discussing a financial investment made by Northwestern Mutual, specifically a $2.7 billion bond bet, which has no apparent connection to the oil market, making it unrelated to the field of oil market analysis.</t>
  </si>
  <si>
    <t>Watch Bloomberg ETF IQ 09/16/2024</t>
  </si>
  <si>
    <t>https://www.google.com/url?sa=t&amp;rct=j&amp;q=&amp;esrc=s&amp;source=newssearch&amp;cd=&amp;ved=2ahUKEwjwk6aFwJeMAxWfXGwGHQ8gO2w4ggEQxfQBKAB6BAgREAE&amp;url=https%3A%2F%2Fwww.bloomberg.com%2Fnews%2Fvideos%2F2024-09-16%2Fbloomberg-etf-iq-09-16-2024&amp;usg=AOvVaw06BxNN6bEKjvg0tke1cVbD&amp;opi=89978449</t>
  </si>
  <si>
    <t>The sentiment is 'unrelated' because the headline appears to be promoting a Bloomberg ETF event or webinar, which does not convey any emotional tone or opinion, nor does it relate to the oil market, which is the area of expertise of the analyst.</t>
  </si>
  <si>
    <t>Iraq PM Says Cost Dispute Delays Restart of Key Oil Pipeline</t>
  </si>
  <si>
    <t>https://www.bloomberg.com/news/articles/2024-09-17/iraq-pm-oil-pipeline-closure-to-persist-on-cost-disagreements</t>
  </si>
  <si>
    <t>The sentiment is 'bearish' because a delayed restart of a key oil pipeline due to a cost dispute implies reduced oil supplies, which would put upward pressure on prices and negatively impact the oil market.</t>
  </si>
  <si>
    <t>Dangote Refinery: Nigerian State Oil Company Sees Gasoline Prices Climbing 11%</t>
  </si>
  <si>
    <t>https://www.bloomberg.com/news/articles/2024-09-16/nigerian-state-oil-company-sees-gasoline-prices-climbing-11</t>
  </si>
  <si>
    <t>The sentiment is not 'bullish' because an 11% increase in gasoline prices, as indicated in the headline, would likely have a negative impact on consumers and the broader economy, rather than a positive one, which is typically associated with a bullish sentiment.</t>
  </si>
  <si>
    <t>OPEC+ Faces a New Problem: A Texas Gas Pipeline</t>
  </si>
  <si>
    <t>https://www.bloomberg.com/opinion/articles/2024-09-17/opec-faces-a-new-problem-a-texas-gas-pipeline</t>
  </si>
  <si>
    <t>The sentiment is 'bearish' because the emergence of a new Texas gas pipeline could increase supply and reduce OPEC+'s market share, potentially leading to downward pressure on oil prices.</t>
  </si>
  <si>
    <t>Oil Steadies as Falling Libyan Exports Offset Weak China Data</t>
  </si>
  <si>
    <t>https://www.bloomberg.com/news/articles/2024-09-15/latest-oil-market-news-and-analysis-for-sept-16</t>
  </si>
  <si>
    <t>The sentiment is 'unrelated' because the headline is presenting two separate and distinct factors that are influencing the oil market, namely the decrease in Libyan exports and the weak China data, without implying a direct relationship between the two.</t>
  </si>
  <si>
    <t>A high-level US delegation in Dhaka to foster economic growth with interim government</t>
  </si>
  <si>
    <t>https://www.voanews.com/a/a-high-level-us-delegation-in-dhaka-to-foster-economic-growth-with-interim-government-/7784966.html</t>
  </si>
  <si>
    <t>The sentiment is 'unrelated' because this headline does not contain any language or information related to the oil market or energy sector, focusing instead on a US delegation's visit to Bangladesh to discuss economic growth with the interim government.</t>
  </si>
  <si>
    <t>Palm Oil Extends Gains on Strong Indian Demand and Weak Ringgit</t>
  </si>
  <si>
    <t>https://www.bloomberg.com/news/articles/2024-08-15/palm-oil-extends-gains-on-strong-indian-demand-and-weak-ringgit</t>
  </si>
  <si>
    <t>The sentiment is 'unrelated' because the headline is simply reporting on market movements and underlying factors without expressing a positive, negative, or neutral opinion or emotion, making it a factual and neutral report rather than a sentimental one.</t>
  </si>
  <si>
    <t>Oil Surplus Looms If OPEC+ Hikes Supplies, IEA Data Show</t>
  </si>
  <si>
    <t>https://www.bloomberg.com/news/articles/2024-08-13/oil-market-faces-surplus-if-opec-boosts-supply-iea-data-shows</t>
  </si>
  <si>
    <t>The sentiment is 'bearish' because an increase in oil supplies from OPEC+ would lead to a surplus, putting downward pressure on oil prices, which would negatively impact oil producers and be a bearish signal for the oil market.</t>
  </si>
  <si>
    <t>Oil Snaps Five-Day Rally as Mideast Risks Vie With IEA Outlook</t>
  </si>
  <si>
    <t>https://www.bloomberg.com/news/articles/2024-08-12/latest-oil-market-news-and-analysis-for-aug-13</t>
  </si>
  <si>
    <t>The sentiment is 'bearish' because the headline suggests that the rally in oil prices was halted due to competing influences, implying that the market is uncertain and vulnerable to downward pressure.</t>
  </si>
  <si>
    <t>Oil Wonâ€™t Rise â€˜Materiallyâ€™ on Middle East Tensions: Sen</t>
  </si>
  <si>
    <t>https://www.bloomberg.com/news/videos/2024-08-13/oil-won-t-rise-materially-on-middle-east-tensions-sen-video</t>
  </si>
  <si>
    <t>The sentiment is 'bearish' because the statement downplays the potential impact of Middle East tensions on oil prices, implying that any increase in price will be limited, which could reduce investor enthusiasm and lead to a downward pressure on the market.</t>
  </si>
  <si>
    <t>Hedge Funds Have Never Been This Bearish on Brent Crude Before</t>
  </si>
  <si>
    <t>https://www.bloomberg.com/news/articles/2024-09-13/hedge-funds-have-never-been-this-bearish-on-brent-crude-before</t>
  </si>
  <si>
    <t>The sentiment is 'bearish' because the extreme level of bearish positioning by hedge funds, as indicated by the headline, suggests that market participants are overwhelmingly pessimistic about the prospects of Brent Crude, implying a potential downward price movement.</t>
  </si>
  <si>
    <t>Here are the Canadian oilpatch winners and losers from volatile oil prices</t>
  </si>
  <si>
    <t>https://financialpost.com/commodities/energy/canadian-oilpatch-volatile-oil-prices</t>
  </si>
  <si>
    <t>The sentiment is 'unrelated' because the headline presents a neutral, factual summary of the impact of volatile oil prices on Canadian oilpatch companies, without expressing a positive, negative, or emotional tone.</t>
  </si>
  <si>
    <t>Oil Net Short For First Time in History</t>
  </si>
  <si>
    <t>https://oilprice.com/Latest-Energy-News/World-News/Oil-Net-Short-For-First-Time-in-History.html</t>
  </si>
  <si>
    <t>The sentiment is 'bearish' because a net short position implies that a majority of traders and investors expect oil prices to fall, indicating a lack of confidence in the market and potentially leading to further downward pressure on prices.</t>
  </si>
  <si>
    <t>Eric Nuttallâ€™s Top Picks for September 13, 2024</t>
  </si>
  <si>
    <t>https://www.bnnbloomberg.ca/markets/2024/09/13/eric-nuttalls-top-picks-for-september-13-2024/</t>
  </si>
  <si>
    <t>The sentiment is 'bullish' because Eric Nuttall is a well-known and respected investment manager with a focus on energy and mining, and his top picks are likely to be stocks or investment opportunities that he believes have significant upside potential, implying a positive outlook for the sector or market.</t>
  </si>
  <si>
    <t>Oil eases on resuming US output after storm, rising rig count</t>
  </si>
  <si>
    <t>https://www.reuters.com/business/energy/oil-prices-extend-recovery-rally-cap-volatile-week-2024-09-13/</t>
  </si>
  <si>
    <t>The sentiment is 'bearish' because the resumption of US oil output after a storm and the increase in rig count suggest an impending surge in oil supply, which could put downward pressure on prices.</t>
  </si>
  <si>
    <t>Strait of Hormuz: Why the Oil Shipping Route Is a Focus of Worry Again</t>
  </si>
  <si>
    <t>https://www.bloomberg.com/news/articles/2024-08-12/strait-of-hormuz-why-the-oil-shipping-route-is-a-focus-of-worry-again</t>
  </si>
  <si>
    <t>The sentiment is not 'bullish' because the Strait of Hormuz being a focus of worry again suggests increased geopolitical tensions and supply disruption risks, which would likely drive oil prices up, not down, and thus would be more accurately classified as a 'bearish' sentiment.</t>
  </si>
  <si>
    <t>Oil Steady After Weekly Gain as Traders Watch for Iran Reprisal</t>
  </si>
  <si>
    <t>https://www.bloomberg.com/news/articles/2024-08-11/latest-oil-market-news-and-analysis-for-aug-12</t>
  </si>
  <si>
    <t>The sentiment is 'unrelated' because the headline is focused on the current market situation and traders' expectations regarding a potential Iranian reprisal, without expressing a clear positive, negative, or neutral emotional tone, making it neutral or unrelated in terms of sentiment.</t>
  </si>
  <si>
    <t>World Oil Demand Growth Is Slowest Since Pandemic as China Cools, IEA Says</t>
  </si>
  <si>
    <t>https://www.bloomberg.com/news/articles/2024-09-12/world-oil-demand-growth-is-slowest-since-pandemic-as-china-cools-iea-says</t>
  </si>
  <si>
    <t>The sentiment is 'bearish' because a slowdown in global oil demand growth, particularly in a significant consumer like China, typically puts downward pressure on oil prices, indicating a negative outlook for the oil market.</t>
  </si>
  <si>
    <t>ECBâ€™s $76 Oil Input for 2025 Inflation Jars With Bearish Views</t>
  </si>
  <si>
    <t>https://www.bloomberg.com/news/articles/2024-09-12/ecb-s-76-oil-input-for-2025-inflation-jars-with-bearish-views</t>
  </si>
  <si>
    <t>The sentiment is 'bearish' because the ECB's forecast of $76 oil input for 2025 is significantly lower than the current market price, suggesting that the central bank expects a decline in oil prices, which could have a negative impact on the oil market and related investments.</t>
  </si>
  <si>
    <t>Oil Advances for Second Day on Hurricane and Risk-On Tone</t>
  </si>
  <si>
    <t>https://www.bloomberg.com/news/articles/2024-09-11/latest-oil-market-news-and-analysis-for-sept-12</t>
  </si>
  <si>
    <t>The sentiment is 'bullish' because the headline combines two positive factors, the impact of a hurricane on oil supply and a general 'risk-on' tone in the market, which suggests increased demand and higher prices.</t>
  </si>
  <si>
    <t>Oil Traders Confront a New World Without the China Bull Factor</t>
  </si>
  <si>
    <t>https://www.bloomberg.com/news/articles/2024-09-12/oil-traders-confront-a-new-world-without-the-china-bull-factor</t>
  </si>
  <si>
    <t>The sentiment is 'bearish' because the absence of the China bull factor, which has historically driven up oil prices, suggests that oil traders will no longer benefit from China's rapid economic growth and oil demand, leading to downward pressure on oil prices.</t>
  </si>
  <si>
    <t>Stocks Halt Rebound as Oil Hits $80 on War Angst: Markets Wrap</t>
  </si>
  <si>
    <t>https://www.bloomberg.com/news/articles/2024-08-11/asian-stocks-eye-mixed-start-as-volatility-wanes-markets-wrap</t>
  </si>
  <si>
    <t>The sentiment is 'bearish' because the headline suggests that the stock market rebound is being halted due to increasing oil prices driven by geopolitical tensions, implying a rise in risk aversion and potential for further market downturn.</t>
  </si>
  <si>
    <t>Is the Oil Price Slide a Red Flag or a Small Mercy?</t>
  </si>
  <si>
    <t>https://www.bloomberg.com/news/newsletters/2024-09-11/crude-oil-s-price-slide-is-worrying-investors-but-supply-may-be-to-blame</t>
  </si>
  <si>
    <t>The sentiment is 'bearish' because the headline's phrase "red flag" implies a warning sign or a cause for concern, suggesting that the oil price slide may have negative implications for the market or economy, which is a bearish perspective.</t>
  </si>
  <si>
    <t>Oil Edges Higher After Slumping to Lowest Level Since 2021</t>
  </si>
  <si>
    <t>https://www.bloomberg.com/news/articles/2024-09-10/oil-stages-rebound-after-global-demand-concerns-trigger-rout</t>
  </si>
  <si>
    <t>The sentiment is 'bullish' because the headline suggests that oil prices have bounced back from their lowest level since 2021, implying a potential recovery or reversal in the downward trend.</t>
  </si>
  <si>
    <t>Outlook for WTI amid economic woes</t>
  </si>
  <si>
    <t>https://www.google.com/url?sa=t&amp;rct=j&amp;q=&amp;esrc=s&amp;source=newssearch&amp;cd=&amp;ved=2ahUKEwjJldzhoZWMAxWnTmwGHXzkHSc4FBDF9AEoAHoECAsQAQ&amp;url=https%3A%2F%2Fwww.bnnbloomberg.ca%2Fvideo%2Fshows%2Fthe-open%2F2024%2F09%2F11%2Foutlook-for-wti-amid-economic-woes%2F&amp;usg=AOvVaw2hh2qezUQB8CKUEwUZk-Bp&amp;opi=89978449</t>
  </si>
  <si>
    <t>The sentiment is 'bearish' because weakness in the global economy typically translates to lower energy demand, which would put downward pressure on WTI prices.</t>
  </si>
  <si>
    <t>Oil Price Rout Drives Russian Revenues to Seven-Month Low</t>
  </si>
  <si>
    <t>https://www.bloomberg.com/news/articles/2024-09-10/russia-s-oil-exports-earn-the-least-since-february-as-prices-tumble</t>
  </si>
  <si>
    <t>The sentiment is 'bearish' because a decline in Russian revenues due to low oil prices suggests a negative impact on the country's economy, which is heavily reliant on oil exports, implying a gloomy outlook for the energy market.</t>
  </si>
  <si>
    <t>Oil settles near 3-year low on weak demand outlook - Reuters</t>
  </si>
  <si>
    <t>https://news.google.com/rss/articles/CBMiuwFBVV95cUxOWFB4N1pnaWNEcEJWTTU5RTk1R2w2WGM5T2hsWmZLNzNKTjE0NGVtQjV6SGZUWnoxc2thRHdLMU9xQnFuRlkyTVpBNlJydEk4eUNxUTJxamJMYjNYSno3WnFfQlpKRU5IR1BFNjRPOTN0dXVZanVPdjhDWkZmeUM0LW5zdXhNMXBVR0hCQThzandoSFJaS3hmSUk4Ym1ZSzdoSlJNbk93aDQwX2NUYmlBY3IwU2oyQUNqOEZn?oc=5</t>
  </si>
  <si>
    <t>The sentiment is 'bearish' because the headline explicitly states that oil prices have settled near a 3-year low, which implies a downward trend in prices driven by weak demand, suggesting a pessimistic outlook for the oil market.</t>
  </si>
  <si>
    <t>Brent Oil Price Tumbles Below $70 as Oversupply Fears Deepen Rout</t>
  </si>
  <si>
    <t>https://www.bloomberg.com/news/articles/2024-09-10/brent-oil-tumbles-below-70-as-oversupply-fears-deepen-rout</t>
  </si>
  <si>
    <t>The sentiment is 'bearish' because the headline suggests that the oil price is falling due to oversupply fears, implying a negative outlook for the market and potential further declines in price.</t>
  </si>
  <si>
    <t>Oil settles near 3-year low on weak demand outlook</t>
  </si>
  <si>
    <t>https://www.reuters.com/markets/commodities/oil-steady-supply-disruptions-storm-francine-offset-weak-demand-2024-09-10/</t>
  </si>
  <si>
    <t>The sentiment is 'bearish' because the headline explicitly mentions a "weak demand outlook", which implies that the market expects oil prices to remain under pressure due to a lack of buying interest, thereby driving prices lower.</t>
  </si>
  <si>
    <t>Stock Market News, Sept. 10, 2024: Dow Slips; Oil Prices Sink - WSJ</t>
  </si>
  <si>
    <t>https://news.google.com/rss/articles/CBMijAFBVV95cUxNdGtHaS1nLUNid3BLTW5QTW5sdkhrTE9aekpnRXpoWmxuRElrejJDQ3gtV25UbU0waHV2LUQ1VXdDa0tjcUNRMlJRVW8tUHZwVVRBb2Utckx3WnE1dDV6eE5VaU00Q21uNVk2Z0FDRHkxVlUza2trVW55dUFQVFJhZmcyTmszZUNLejJqZg?oc=5</t>
  </si>
  <si>
    <t>The sentiment is 'bearish' because the headline mentions "Dow Slips" and "Oil Prices Sink", both of which indicate a downward trend in the market, suggesting a pessimistic outlook.</t>
  </si>
  <si>
    <t>Oil Spread Narrows Sharply Amid Concerns Over European Demand</t>
  </si>
  <si>
    <t>https://www.bloomberg.com/news/articles/2024-09-10/oil-spread-narrows-sharply-amid-concerns-over-european-demand</t>
  </si>
  <si>
    <t>The sentiment is 'bearish' because the narrowing of the oil spread, which is the difference between the prices of different types of crude oil, suggests that concerns over European demand are weighing on the market, implying a potential decrease in oil prices.</t>
  </si>
  <si>
    <t>The Oil Marketâ€™s Bullish Structure Is Fading Fast as Prices Tank</t>
  </si>
  <si>
    <t>https://www.bnnbloomberg.ca/investing/2024/09/10/the-oil-markets-bullish-structure-is-fading-fast-as-prices-tank/</t>
  </si>
  <si>
    <t>The sentiment is 'bearish' because the headline explicitly states that the market's bullish structure is fading, implying a shift towards a more negative outlook, and the phrase "prices tank" reinforces this notion, suggesting a strong downward pressure on oil prices.</t>
  </si>
  <si>
    <t>Brent Oil Tumbles Below $70 as Oversupply Fears Deepen Rout</t>
  </si>
  <si>
    <t>https://www.bnnbloomberg.ca/investing/2024/09/10/brent-oil-tumbles-below-70-as-oversupply-fears-deepen-rout/</t>
  </si>
  <si>
    <t>The sentiment is 'bearish' because the headline highlights a decline in oil prices, specifically mentioning a "rout" in the market, indicating a strong downward price movement, which is typically associated with bearish sentiment.</t>
  </si>
  <si>
    <t>Morgan Stanley Cuts Oil Forecast Again as Concerns Deepen</t>
  </si>
  <si>
    <t>https://www.bloomberg.com/news/articles/2024-09-09/morgan-stanley-cuts-oil-forecast-again-as-market-concerns-deepen</t>
  </si>
  <si>
    <t>The sentiment is 'bearish' because a cut in the oil forecast by a prominent investment bank like Morgan Stanley implies a decrease in expected oil prices, which would negatively impact oil producers and bullish investors.</t>
  </si>
  <si>
    <t>Chalmers May Seek Greens Support For RBA Legislation</t>
  </si>
  <si>
    <t>https://www.bloomberg.com/news/newsletters/2024-09-09/rba-legislation-smiggles-nz-wealth-fund-australia-briefing</t>
  </si>
  <si>
    <t>The sentiment is 'unrelated' because this headline appears to be about Australian politics and the Reserve Bank of Australia, which has no apparent connection to the oil market, making it irrelevant to an oil market analyst's area of expertise.</t>
  </si>
  <si>
    <t>Trafigura Says Oil Set for $60s, But Donâ€™t Be Too Bearish</t>
  </si>
  <si>
    <t>https://www.bloomberg.com/news/articles/2024-09-09/trafigura-says-brent-set-for-60s-but-warns-on-being-too-bearish</t>
  </si>
  <si>
    <t>The sentiment is 'neutral/uncertain' because the headline conveys a mixed message, predicting a specific price range for oil ($60s) while simultaneously cautioning against being too bearish, indicating a nuanced and balanced view that doesn't lean strongly towards optimism or pessimism.</t>
  </si>
  <si>
    <t>Wall Street Ponders Whether OPEC+ Will Shift Course on Oil</t>
  </si>
  <si>
    <t>https://www.bloomberg.com/news/newsletters/2024-09-09/opec-oil-output-strategy-sparks-doubts-on-wall-street</t>
  </si>
  <si>
    <t>The sentiment is 'neutral/uncertain' because the headline simply presents a question about OPEC+'s future actions, without expressing a clear opinion or bias, leaving the reader to ponder the possibilities alongside Wall Street, thereby reflecting a genuinely neutral and uncertain tone.</t>
  </si>
  <si>
    <t>Morgan Stanley cuts Brent crude price view as market signals demand softness</t>
  </si>
  <si>
    <t>https://www.reuters.com/markets/commodities/morgan-stanley-cuts-brent-crude-price-view-market-signals-demand-softness-2024-09-09/</t>
  </si>
  <si>
    <t>The sentiment is 'bearish' because Morgan Stanley's cut to its Brent crude price view implies a more pessimistic outlook for oil prices, suggesting that the investment bank expects weaker demand to weigh on the market, which is typically associated with downward price pressure.</t>
  </si>
  <si>
    <t>Big Oil Faces a â€˜Good Sweating.â€™ Some Arenâ€™t Fit</t>
  </si>
  <si>
    <t>https://www.google.com/url?sa=t&amp;rct=j&amp;q=&amp;esrc=s&amp;source=newssearch&amp;cd=&amp;ved=2ahUKEwj73NXbwJeMAxWaRmwGHQELHCg4jAEQxfQBKAB6BAgQEAE&amp;url=https%3A%2F%2Fwww.bloomberg.com%2Fopinion%2Farticles%2F2024-09-10%2Fbig-oil-s-buyback-bonanza-for-investors-has-a-sustainability-issue&amp;usg=AOvVaw02qlgKyxPuQ6F4Woe7_itn&amp;opi=89978449</t>
  </si>
  <si>
    <t>The sentiment is 'bearish' because the headline suggests that some oil companies may not be financially prepared to withstand the challenges facing the industry, implying potential difficulties and losses for those companies.</t>
  </si>
  <si>
    <t>Oil Rebounds After Brutal Week as Traders Take Stock of Outlook</t>
  </si>
  <si>
    <t>https://www.bloomberg.com/news/articles/2024-09-08/oil-rebounds-after-brutal-week-as-traders-take-stock-of-outlook</t>
  </si>
  <si>
    <t>The sentiment is 'bullish' because the headline suggests that oil prices are recovering from a sharp decline, implying that traders are becoming more optimistic about the market outlook, potentially driven by improving fundamentals or a correction from oversold conditions.</t>
  </si>
  <si>
    <t>Oil Extends Recovery Rally as Traders Wait for Iran Retaliation</t>
  </si>
  <si>
    <t>https://www.google.com/url?sa=t&amp;rct=j&amp;q=&amp;esrc=s&amp;source=newssearch&amp;cd=&amp;ved=2ahUKEwj1yNTW2pWMAxXzR2wGHc6MIhA4-gEQxfQBKAB6BAgKEAE&amp;url=https%3A%2F%2Fwww.bloomberg.com%2Fnews%2Farticles%2F2024-08-07%2Flatest-oil-market-news-and-analysis-for-aug-8&amp;usg=AOvVaw1keOZBmw-FNN1otegudHcv&amp;opi=89978449</t>
  </si>
  <si>
    <t>The sentiment is 'bullish' because the headline suggests that oil prices are continuing to rise, which implies a sense of optimism and confidence among traders despite concerns about potential retaliation from Iran, indicating a positive outlook on the market.</t>
  </si>
  <si>
    <t>OPEC+ Will Struggle to Defend Oil Prices Above $75 for Long</t>
  </si>
  <si>
    <t>https://www.bloomberg.com/opinion/articles/2024-08-07/opec-will-struggle-to-defend-oil-prices-above-75-for-long</t>
  </si>
  <si>
    <t>The sentiment is 'bearish' because the headline suggests that OPEC+ will struggle to maintain high oil prices, implying that prices may decline or stabilize at a lower level, which would negatively impact oil producers and bullish investors.</t>
  </si>
  <si>
    <t>Hedge Funds Slash Bets on an Oil Rally to Lowest Ever Amid Rout</t>
  </si>
  <si>
    <t>https://www.google.com/url?sa=t&amp;rct=j&amp;q=&amp;esrc=s&amp;source=newssearch&amp;cd=&amp;ved=2ahUKEwj73NXbwJeMAxWaRmwGHQELHCg4jAEQxfQBKAB6BAgIEAE&amp;url=https%3A%2F%2Fwww.bloomberg.com%2Fnews%2Farticles%2F2024-09-06%2Fhedge-funds-slash-bets-on-an-oil-rally-to-lowest-ever-amid-rout&amp;usg=AOvVaw1jj7TfY72pyFVhIgI8DW91&amp;opi=89978449</t>
  </si>
  <si>
    <t>The sentiment is 'bearish' because the headline indicates that hedge funds, a key group of investors, are losing confidence in the oil market and reducing their bets on a price increase, which suggests they expect prices to fall or remain low.</t>
  </si>
  <si>
    <t>OPEC+â€™s Quick Fix Masks a Bigger Problem: Too Much Oil Next Year</t>
  </si>
  <si>
    <t>https://www.bloomberg.com/news/articles/2024-09-06/opec-s-oil-market-quick-fix-masks-a-bigger-problem-too-much-crude-next-year</t>
  </si>
  <si>
    <t>The sentiment is 'bearish' because the headline implies that despite OPEC+'s efforts to address the current oil market imbalance, a larger problem of oversupply is looming on the horizon, which could lead to downward pressure on oil prices.</t>
  </si>
  <si>
    <t>Saudis Cut October Crude Oil Price to Asia as Demand Wanes</t>
  </si>
  <si>
    <t>https://www.bloomberg.com/news/articles/2024-09-06/saudis-cuts-october-crude-oil-price-to-asia-as-demand-wanes</t>
  </si>
  <si>
    <t>The sentiment is 'bearish' because a cut in crude oil prices by Saudi Arabia, the world's largest oil exporter, to its largest market, Asia, suggests that the kingdom is trying to stimulate demand, implying that current demand is weak, which is a negative indicator for the oil market.</t>
  </si>
  <si>
    <t>IMF Warns Saudi Oil Revenue to Fall More Sharply This Decade</t>
  </si>
  <si>
    <t>https://www.bloomberg.com/news/articles/2024-09-05/imf-warns-saudi-oil-revenue-to-fall-more-sharply-this-decade</t>
  </si>
  <si>
    <t>The sentiment is 'bearish' because a decline in Saudi oil revenue would suggest a surplus of oil in the market, leading to downward pressure on oil prices, which would negatively impact the oil and gas industry as a whole.</t>
  </si>
  <si>
    <t>Oil prices hold at 14-month low as demand worries offset big US storage withdrawal</t>
  </si>
  <si>
    <t>https://www.reuters.com/business/energy/oil-steady-investors-weigh-weak-demand-potential-delay-opec-output-hike-2024-09-05/</t>
  </si>
  <si>
    <t>The sentiment is 'bearish' because the headline highlights that demand worries are outweighing the positive impact of a large US storage withdrawal, implying that concerns about weak demand are dominating the market and putting downward pressure on prices.</t>
  </si>
  <si>
    <t>Exclusive | Chevron Wants the Oil to Keep Flowing in Venezuela After Disputed Election - WSJ</t>
  </si>
  <si>
    <t>https://news.google.com/rss/articles/CBMijgFBVV95cUxOR0M0M3lpNF9hRjYtdWQ0NWRVb3FKRUg4OXE0V0pFN2VEUHhBV0hKamwtTGc3U0kyVU5yb0c3MlVhODByMjhibl9jaTVPRjZSYWxwNy1SUWVFVmtRMGwzd1FHZGVQeGxBRER6LVBibUpnRTJMajR4RENmODhQSzBWeUI1N0lSTGtSNll1eU5n?oc=5</t>
  </si>
  <si>
    <t>The sentiment is 'bullish' because Chevron's desire to continue operating in Venezuela suggests that the company is confident in its ability to navigate the country's political uncertainty and maintain oil production, which could lead to increased output and revenue.</t>
  </si>
  <si>
    <t>OPEC+ Pauses Oil Supply Hike in Effort to Reverse Price Slump</t>
  </si>
  <si>
    <t>https://www.bloomberg.com/news/articles/2024-09-05/opec-has-deal-to-pause-planned-oil-hike-for-2-months-delegate</t>
  </si>
  <si>
    <t>The sentiment is 'bullish' because the pause in oil supply hike by OPEC+ is a move to stabilize and potentially support oil prices, which have been in a slump, thus indicating a positive outlook for the market.</t>
  </si>
  <si>
    <t>Nigeria to Allow Dangoteâ€™s Refinery to Set Gasoline Prices</t>
  </si>
  <si>
    <t>https://www.bloomberg.com/news/articles/2024-09-05/nigeria-to-allow-aliko-dangote-s-refinery-to-set-gasoline-prices</t>
  </si>
  <si>
    <t>The sentiment is 'bullish' because this headline suggests that the Nigerian government is granting Dangote's refinery more flexibility to operate efficiently and potentially increase its profitability, which is a positive development for the company and the country's energy sector.</t>
  </si>
  <si>
    <t>Oil Pauses Near 14-Month Low on Signs of Falling US Stockpiles</t>
  </si>
  <si>
    <t>https://www.bloomberg.com/news/articles/2024-09-04/latest-oil-market-news-and-analysis-for-sept-5</t>
  </si>
  <si>
    <t>The sentiment is 'bullish' because the phrase "signs of falling US stockpiles" implies a decrease in inventories, which could lead to a tightening of the oil market and subsequently support higher prices.</t>
  </si>
  <si>
    <t>OPEC+ Pauses Oil Supply Hike in Effort to Reverse Price Slump - Bloomberg.com</t>
  </si>
  <si>
    <t>https://news.google.com/rss/articles/CBMisgFBVV95cUxPZ2FzQmV6Ui1rdmhKaVVhNTlxdU5JSTdQQ01XMWVjcjNoRGZnYUh2cTVORkNEZ2JnVlF3ZWp5Q2ZZdTFZLXZpcVdGdHJlUHMzbi1fejA2T2RNU04wZHpDSzRRdF9vMGZXeHpETEk3NFhsLUFGcWtQbHZVSy1icHJ0YlF1dENIUkMtdTBiZ0VNYnpIYkRqZ00wWlF1bXBZdTBsMGxkZ1M4UXVpVVlCZWZqWmZ3?oc=5</t>
  </si>
  <si>
    <t>The sentiment is 'bullish' because the pause in oil supply hikes by OPEC+ is an effort to reduce the global oil supply surplus and stabilize prices, which could potentially reverse the current price slump and support higher oil prices in the near term.</t>
  </si>
  <si>
    <t>OPEC+ Close to Delaying Oil Supply Increase, Delegates Say</t>
  </si>
  <si>
    <t>https://www.bloomberg.com/news/articles/2024-09-04/opec-close-to-delaying-oil-supply-increase-delegates-say</t>
  </si>
  <si>
    <t>The sentiment is not 'bullish' because a delay in increasing oil supply would actually suggest a tighter market, which could lead to higher prices, benefiting oil producers and thus being bearish for consumers and the broader economy.</t>
  </si>
  <si>
    <t>Star Examining Its Liquidity Before Key Verdict on Sydney Casino</t>
  </si>
  <si>
    <t>https://www.bloomberg.com/news/articles/2024-09-04/star-examining-its-liquidity-before-key-verdict-on-sydney-casino</t>
  </si>
  <si>
    <t>The sentiment is 'unrelated' because the headline appears to be discussing a casino in Sydney and the company Star's liquidity, which has no clear connection to the oil market, making it an unrelated topic from an oil market analysis perspective.</t>
  </si>
  <si>
    <t>Blackstone to Acquire Australiaâ€™s AirTrunk in A$24 Billion Deal</t>
  </si>
  <si>
    <t>https://www.bloomberg.com/news/articles/2024-09-04/blackstone-to-acquire-australia-s-airtrunk-in-a-24-billion-deal</t>
  </si>
  <si>
    <t>The sentiment is 'unrelated' because this headline appears to be a mergers and acquisitions deal in the technology/infrastructure sector, having no direct connection to the oil market, and therefore would not impact or be related to oil market trends or prices.</t>
  </si>
  <si>
    <t>The Sleek, Fuel-Saving Airplanes Coated with Synthetic Shark Skin</t>
  </si>
  <si>
    <t>https://www.bloomberg.com/news/articles/2024-09-05/the-sleek-fuel-saving-airplanes-coated-with-synthetic-shark-skin</t>
  </si>
  <si>
    <t>The sentiment is 'bearish' because the development of fuel-saving airplanes coated with synthetic shark skin implies a potential reduction in fuel consumption, which could lead to lower demand for oil and subsequently lower oil prices.</t>
  </si>
  <si>
    <t>Libya Oil Exports Trickle Out Even as Authorities Block Loadings</t>
  </si>
  <si>
    <t>https://www.bloomberg.com/news/articles/2024-09-04/libya-oil-exports-trickle-out-even-as-authorities-block-loadings</t>
  </si>
  <si>
    <t>The sentiment is 'bearish' because the headline suggests that Libya's oil exports are being hindered, which could lead to a reduction in global oil supply, thus supporting higher prices and a bearish outlook for oil consumers.</t>
  </si>
  <si>
    <t>AI Expected to Dampen Oil Prices Over Next Decade, Goldman Says</t>
  </si>
  <si>
    <t>https://www.bloomberg.com/news/articles/2024-09-04/ai-expected-to-dampen-oil-prices-over-next-decade-goldman-says</t>
  </si>
  <si>
    <t>The sentiment is 'bearish' because the headline suggests that AI-driven efficiency gains and increased productivity in the oil industry will lead to reduced costs and prices, which could negatively impact the profitability of oil producers and investors.</t>
  </si>
  <si>
    <t>Crude futures settle down by more than $1/bbl on demand fears</t>
  </si>
  <si>
    <t>https://www.reuters.com/markets/commodities/oil-extends-losses-signs-end-libyan-dispute-demand-concerns-2024-09-04/</t>
  </si>
  <si>
    <t>The sentiment is 'bearish' because a decline in crude futures prices, driven by demand fears, suggests a negative outlook for the oil market, implying that investors expect lower prices and reduced economic activity.</t>
  </si>
  <si>
    <t>Kremlin Oil, Gas Revenues Up by Fifth as Demand for Flows Rises</t>
  </si>
  <si>
    <t>https://www.bnnbloomberg.ca/investing/2024/09/04/kremlin-oil-gas-revenues-up-by-fifth-as-demand-for-flows-rises/</t>
  </si>
  <si>
    <t>The sentiment is 'bullish' because an increase in revenues for the Kremlin due to higher demand for oil and gas flows suggests a strengthening of the energy market, which is typically a positive indicator for the industry as a whole.</t>
  </si>
  <si>
    <t>Apollo to Build Out Trading Desk for Private Credit Loans</t>
  </si>
  <si>
    <t>https://www.bnnbloomberg.ca/investing/2024/09/04/apollo-plans-to-build-out-trading-desk-for-private-credit-loans/</t>
  </si>
  <si>
    <t>The sentiment is 'unrelated' because this headline appears to be discussing a financial services company's plans to expand its trading capabilities in private credit loans, which has no apparent connection to the oil market, making it an unrelated topic.</t>
  </si>
  <si>
    <t>Oilâ€™s Meltdown Worsens on Concern Over Demand and OPEC+ Supply</t>
  </si>
  <si>
    <t>https://www.bloomberg.com/news/articles/2024-09-03/latest-oil-market-news-and-analysis-for-sept-4</t>
  </si>
  <si>
    <t>The sentiment is 'bearish' because the headline suggests that the oil market is facing a double whammy of weakening demand and increasing supply from OPEC+, which would put downward pressure on oil prices.</t>
  </si>
  <si>
    <t>Five Things You Need to Know to Start Your Day: Europe</t>
  </si>
  <si>
    <t>https://www.bloomberg.com/news/newsletters/2024-09-04/stock-markets-today-stocks-tumble-oil-prices-fall-companies-rush-to-sell-debt</t>
  </si>
  <si>
    <t>The sentiment is 'unrelated' because the headline appears to be a general news briefing providing updates on Europe, which does not directly relate to the oil market or industry, and therefore may not be of specific interest or relevance to an oil market analyst.</t>
  </si>
  <si>
    <t>Brent Crude Tumbles Below $75 a Barrel, Erasing 2024 Gains</t>
  </si>
  <si>
    <t>https://www.bnnbloomberg.ca/markets/oil/2024/09/03/brent-crude-tumbles-below-75-a-barrel-erasing-2024-gains/</t>
  </si>
  <si>
    <t>The sentiment is 'bearish' because the headline indicates a significant decline in Brent Crude prices, wiping out all the gains made in 2024, which suggests a negative outlook on the oil market.</t>
  </si>
  <si>
    <t>WTI crude trading near January lows</t>
  </si>
  <si>
    <t>https://www.google.com/url?sa=t&amp;rct=j&amp;q=&amp;esrc=s&amp;source=newssearch&amp;cd=&amp;ved=2ahUKEwjc0oypopWMAxUsUGcHHU_sENU4HhDF9AEoAHoECAkQAQ&amp;url=https%3A%2F%2Fwww.bnnbloomberg.ca%2Fvideo%2Fshows%2Ftrading-day%2F2024%2F09%2F03%2Fwti-crude-trading-near-january-lows%2F&amp;usg=AOvVaw3LZoxeyKdxqgUxmOVuxou6&amp;opi=89978449</t>
  </si>
  <si>
    <t>The sentiment is 'bearish' because a decline in crude prices to near January lows suggests that the market is experiencing downward pressure, which is typically associated with oversupply, weak demand, or other negative market fundamentals.</t>
  </si>
  <si>
    <t>Brent Crude Price Tumbles Below $75 a Barrel, Erasing 2024 Gains</t>
  </si>
  <si>
    <t>https://www.bloomberg.com/news/articles/2024-09-03/brent-crude-tumbles-below-75-a-barrel-erasing-2024-gains</t>
  </si>
  <si>
    <t>The sentiment is 'bearish' because a decline in Brent crude price below $75 a barrel, which erases the year-to-date gains, suggests that the oil market is experiencing downward pressure, indicating a negative outlook for oil prices.</t>
  </si>
  <si>
    <t>Russia built covert trade channel with India, leaks reveal</t>
  </si>
  <si>
    <t>https://www.ft.com/content/101afcd6-8e6f-4b5f-89b0-98f48cd5d119</t>
  </si>
  <si>
    <t>The sentiment is not 'bullish' because this headline suggests that Russia and India have engaged in covert trade practices, which could lead to increased scrutiny and potential trade restrictions, ultimately weighing on global trade and oil demand.</t>
  </si>
  <si>
    <t>Stock Market Today: Dow, Nasdaq and S&amp;P 500 Tumble as Slowdown Fears Return â€” Live Updates - WSJ</t>
  </si>
  <si>
    <t>https://news.google.com/rss/articles/CBMijAFBVV95cUxQNFFlLWw1Z1lqT3ZYX21VOS1zNDhrV3pDMFA5aDl2MWJJV0ctdnh6b1c1N24yczcyTENIYWczU2hBX0VQb0pCdGRvMWRZR2hmdVY1dk9IS0Rob0xxWTFZVGRqWW04SzRxOXhTRjgzZHZ0UDQtY002UjJtZmx3Snh1UFdnUUpIb1NWQXA0SQ?oc=5</t>
  </si>
  <si>
    <t>The sentiment is 'bearish' because a market tumble, driven by slowdown fears, typically indicates a decrease in investor confidence and a potential decline in economic activity, which would likely negatively impact oil demand and prices.</t>
  </si>
  <si>
    <t>Algorithmic Traders Add to Oilâ€™s Rout as Demand Fears Resurface</t>
  </si>
  <si>
    <t>https://www.bloomberg.com/news/articles/2024-09-03/algorthmic-traders-add-to-crude-oil-price-rout-as-demand-fears-resurface</t>
  </si>
  <si>
    <t>The sentiment is 'bearish' because the headline suggests that algorithmic traders are exacerbating the downward pressure on oil prices, implying a lack of confidence in the market and adding to existing demand concerns, which is a negative outlook for oil prices.</t>
  </si>
  <si>
    <t>Wall Streetâ€™s Oil Outlook for 2025 Grows Darker as China Falters, OPEC Ramps Up</t>
  </si>
  <si>
    <t>https://www.bloomberg.com/news/newsletters/2024-09-03/wall-street-s-oil-outlook-for-2025-grows-darker-as-china-falters-opec-ramps-up</t>
  </si>
  <si>
    <t>The sentiment is 'bearish' because the headline suggests that the combination of China's economic slowdown and OPEC's increased production will lead to an oversupply of oil, which would put downward pressure on prices and negatively impact the oil market.</t>
  </si>
  <si>
    <t>Oil Plunges as Rising Supplies, Tepid Demand Intensify Gloom</t>
  </si>
  <si>
    <t>https://www.bnnbloomberg.ca/markets/oil/2024/09/02/oil-drops-with-weak-chinese-demand-overshadowing-libya-outage/</t>
  </si>
  <si>
    <t>The sentiment is 'bearish' because the headline highlights a combination of factors that are widely perceived as negative for oil prices, including rising supplies and tepid demand, which suggests that the market is likely to experience downward pressure.</t>
  </si>
  <si>
    <t>Oil Extends Drop on Signs of OPEC+ Output Boost and China Woes</t>
  </si>
  <si>
    <t>https://www.bloomberg.com/news/articles/2024-09-01/latest-oil-market-news-and-analysis-for-sept-2</t>
  </si>
  <si>
    <t>The sentiment is 'bearish' because the headline suggests that OPEC+ may increase output, which could lead to a surplus in the market, while also highlighting China's economic woes, which could reduce demand and further pressure oil prices downward.</t>
  </si>
  <si>
    <t>Crypto Firm OKX Hires Former Grab Exec to Be Singapore CEO</t>
  </si>
  <si>
    <t>https://www.bnnbloomberg.ca/business/company-news/2024/09/02/crypto-firm-okx-hires-gracie-lin-from-grab-to-be-singapore-ceo/</t>
  </si>
  <si>
    <t>The sentiment is 'unrelated' because the headline is about a cryptocurrency firm hiring a new CEO, which has no connection or relevance to the oil market, making it an unrelated news item from an oil market analyst's perspective.</t>
  </si>
  <si>
    <t>Oil Holds Two-Day Loss as Technicals Vie With Stockpiles, Libya</t>
  </si>
  <si>
    <t>https://www.bloomberg.com/news/articles/2024-08-28/latest-oil-market-news-and-analysis-for-aug-29</t>
  </si>
  <si>
    <t>The sentiment is 'bearish' because the headline suggests that oil prices are holding onto losses amidst mixed signals from technical indicators and an increase in stockpiles, which could imply a lack of upward momentum in the market, while the mention of Libya may be hinting at potential supply disruptions that could mitigate losses but not necessarily spark a rally.</t>
  </si>
  <si>
    <t>Egypt Signs Deals to Hedge Against Petroleum Price Fluctuations</t>
  </si>
  <si>
    <t>https://www.bloomberg.com/news/articles/2024-08-29/egypt-signs-deals-to-hedge-against-petroleum-price-fluctuations</t>
  </si>
  <si>
    <t>The sentiment is 'bullish' because Egypt's move to hedge against petroleum price fluctuations implies a proactive approach to managing market risks, which could potentially lead to improved energy security and economic stability, thereby boosting investor confidence and market optimism.</t>
  </si>
  <si>
    <t>Oil Spread Balloons as Concerns Mount Over Libyan Supply</t>
  </si>
  <si>
    <t>https://www.bloomberg.com/news/articles/2024-08-27/oil-spread-balloons-as-concerns-mount-over-libyan-supply</t>
  </si>
  <si>
    <t>The sentiment is not 'bullish' because a supply disruption in Libya would likely reduce global oil supply and drive prices up, which would be bearish for oil consumers and bullish for oil prices, not bullish overall.</t>
  </si>
  <si>
    <t>Goldman Cuts Oil Outlook Below $80 as OPEC+ Risks Send Chill</t>
  </si>
  <si>
    <t>https://www.bloomberg.com/news/articles/2024-08-27/wall-street-sours-on-oil-as-goldman-flags-risks-from-opec-boost</t>
  </si>
  <si>
    <t>The sentiment is 'bearish' because the headline implies that Goldman Sachs, a reputable financial institution, is lowering its oil price forecast due to risks related to OPEC+ actions, suggesting a pessimistic outlook for oil prices.</t>
  </si>
  <si>
    <t>US Oil Dominance Hinges on Quiet Corner of New Mexico</t>
  </si>
  <si>
    <t>https://www.bloomberg.com/news/articles/2024-08-26/new-mexico-oil-production-supports-us-dominance</t>
  </si>
  <si>
    <t>The sentiment is 'bullish' because the headline suggests that a specific region in New Mexico is crucial to maintaining US oil dominance, implying that the country's oil production is robust and poised for continued growth.</t>
  </si>
  <si>
    <t>Libyan Rival Government to Stop Oil Output Over Bank Row</t>
  </si>
  <si>
    <t>https://www.bnnbloomberg.ca/investing/2024/08/26/libya-rival-government-to-stop-all-oil-output-amid-bank-row/</t>
  </si>
  <si>
    <t>The sentiment is 'bearish' because a halt in Libyan oil output could lead to a supply shortage, which in turn would put upward pressure on global oil prices, negatively impacting the overall economy and oil market.</t>
  </si>
  <si>
    <t>Saudi Arabiaâ€™s Sales From Oil Exports Drop to Three-Year Low</t>
  </si>
  <si>
    <t>https://www.bloomberg.com/news/articles/2024-08-22/saudi-arabia-s-sales-from-oil-exports-drop-to-three-year-low</t>
  </si>
  <si>
    <t>The sentiment is 'bearish' because a decline in Saudi Arabia's oil export sales to a three-year low suggests weaker global demand and potentially oversupplied markets, which could lead to downward pressure on oil prices.</t>
  </si>
  <si>
    <t>5 Steps to Making a Profit in Crude Oil Trading</t>
  </si>
  <si>
    <t>https://www.investopedia.com/articles/investing/100515/learn-how-trade-crude-oil-5-steps.asp</t>
  </si>
  <si>
    <t>The sentiment is 'bullish' because the headline implies that making a profit in crude oil trading is achievable and accessible, conveying a sense of optimism and confidence in the market's potential for generating returns.</t>
  </si>
  <si>
    <t>Russian Oil: Shadow Fleet in Baltic Sea Poses Threat to Environment</t>
  </si>
  <si>
    <t>https://www.bloomberg.com/graphics/2024-russia-shadow-oil-fleet-denmark-baltic-environment/</t>
  </si>
  <si>
    <t>The sentiment is 'bearish' because the headline suggests that a shadow fleet of Russian oil tankers in the Baltic Sea poses an environmental threat, implying potential disruptions to oil supplies and increased regulatory scrutiny, which could negatively impact oil prices and the industry as a whole.</t>
  </si>
  <si>
    <t>Nigeriaâ€™s Dangote Oil Refinery Is Increasingly Skipping US Crude</t>
  </si>
  <si>
    <t>https://www.bloomberg.com/news/articles/2024-08-21/nigeria-s-dangote-oil-refinery-is-increasingly-skipping-us-crude</t>
  </si>
  <si>
    <t>The sentiment is 'bearish' because the reduction in US crude imports by Nigeria's Dangote Oil Refinery implies a decrease in US crude oil demand, which could lead to a surplus in the market and subsequently put downward pressure on prices.</t>
  </si>
  <si>
    <t>Oil settles $1 down after US job data revised significantly lower</t>
  </si>
  <si>
    <t>https://www.reuters.com/markets/commodities/oil-prices-down-swelling-us-crude-stocks-easing-middle-east-tensions-2024-08-21/</t>
  </si>
  <si>
    <t>The sentiment is 'bearish' because a downward revision in US job data suggests weaker economic growth, which could lead to decreased demand for oil and subsequently lower prices.</t>
  </si>
  <si>
    <t>U.S. crude oil holds at roughly $74 per barrel after selling off on softer demand</t>
  </si>
  <si>
    <t>https://www.cnbc.com/2024/08/20/crude-oil-prices-today.html</t>
  </si>
  <si>
    <t>The sentiment is 'bearish' because the headline explicitly states that crude oil prices are holding steady after selling off, implying that the downturn in prices was triggered by weaker demand, which is a fundamentally bearish factor in the oil market.</t>
  </si>
  <si>
    <t>Chinaâ€™s Record Oil Imports From Asia Minnow Point to Iran Flows</t>
  </si>
  <si>
    <t>https://www.bloomberg.com/news/articles/2024-08-20/china-s-record-oil-imports-from-asia-minnow-point-to-iran-flows</t>
  </si>
  <si>
    <t>The sentiment is 'bullish' because the record oil imports from a relatively minor player suggest that China is finding alternative sources to meet its growing demand, which could signal a tightening of the global oil market and upward pressure on prices.</t>
  </si>
  <si>
    <t>Brent likely to take a hit from soft demand in China, says Goldman</t>
  </si>
  <si>
    <t>https://www.reuters.com/markets/commodities/brent-likely-take-hit-soft-demand-china-says-goldman-2024-08-20/</t>
  </si>
  <si>
    <t>The sentiment is 'bearish' because the headline suggests that Goldman expects Brent oil prices to decline due to weakened demand from China, implying a negative outlook for the oil market.</t>
  </si>
  <si>
    <t>Oil Options Show Marketâ€™s Middle East Worries Starting to Ease</t>
  </si>
  <si>
    <t>https://www.bnnbloomberg.ca/markets/oil/2024/08/20/oil-options-show-markets-middle-east-worries-starting-to-ease/</t>
  </si>
  <si>
    <t>The sentiment is 'bullish' because the easing of Middle East worries, as implied by the oil options market, suggests a decrease in perceived geopolitical risk premium, which could lead to a downward pressure on oil prices, benefiting consumers and boosting overall economic activity.</t>
  </si>
  <si>
    <t>Oil falls by more than $2 a barrel on Gaza ceasefire talks and weak Chinese economy</t>
  </si>
  <si>
    <t>https://www.reuters.com/markets/commodities/oil-prices-ease-china-demand-fears-focus-mideast-talks-2024-08-19/</t>
  </si>
  <si>
    <t>The sentiment is 'bearish' because the headline suggests that the oil price is falling due to both positive developments in the geopolitical sphere (Gaza ceasefire talks) and negative economic data from a major consumer country (weak Chinese economy), implying a lack of underlying support for oil prices.</t>
  </si>
  <si>
    <t>Oil rises nearly 2% on upbeat US economic data, geopolitical tension - Reuters</t>
  </si>
  <si>
    <t>https://news.google.com/rss/articles/CBMisAFBVV95cUxPT3BaY1JVREVkeGlHSUhiTkl0YVJYeG5jZXhvMWlvWmVMcWtXOHlETjZoakoyZXVoYzh4Yy1pSTJGNUdmOVZrUjFGRjRmcTlzZXhKMklrTmc0QkVXSl9mTUUtaE5UQUlvLUF6cFJiSmNDQ2MzWlhQSjFMZ1Q4YWoyMGhNcEdaNWFCS0NrZGhsZ1ZaU2pQTXREaVROWVZYNWlnSFBqU0t0Zl9wY3RlbnFicQ?oc=5</t>
  </si>
  <si>
    <t>The sentiment is 'bullish' because the headline suggests that oil prices are rising due to positive economic data and geopolitical tensions, which are both factors that typically support higher oil prices, indicating a optimistic outlook for the market.</t>
  </si>
  <si>
    <t>Russiaâ€™s Seaborne Crude Exports Slowly Recover From 11-Month Low</t>
  </si>
  <si>
    <t>https://www.bloomberg.com/news/articles/2024-08-14/russia-s-oil-exports-slowly-recover-from-11-month-low</t>
  </si>
  <si>
    <t>The sentiment is 'bullish' because the headline suggests that Russia's seaborne crude exports are recovering from an 11-month low, implying a potential increase in global oil supply and, subsequently, downward pressure on prices, which could be beneficial for consumers and economies.</t>
  </si>
  <si>
    <t>Oil prices settle 1% lower after surprise rise in US crude stockpiles</t>
  </si>
  <si>
    <t>https://www.reuters.com/business/energy/oil-strengthens-fall-estimated-us-crude-inventories-2024-08-14/</t>
  </si>
  <si>
    <t>The sentiment is 'bearish' because the surprise increase in US crude stockpiles suggests a potential oversupply in the market, which would put downward pressure on oil prices.</t>
  </si>
  <si>
    <t>Oil tumbles on easing fears of wider Middle East war</t>
  </si>
  <si>
    <t>https://www.reuters.com/business/energy/oil-prices-ease-markets-refocus-demand-worries-2024-08-13/</t>
  </si>
  <si>
    <t>The sentiment is 'bearish' because a decrease in oil prices is typically associated with a decrease in demand or an increase in supply, and the easing of fears of a wider Middle East war implies a reduced risk premium, which would lead to lower oil prices.</t>
  </si>
  <si>
    <t>U.S. crude oil rallies more than 4%, tops $80 as Pentagon sends more forces to Middle East</t>
  </si>
  <si>
    <t>https://www.cnbc.com/2024/08/12/crude-oil-prices-today.html</t>
  </si>
  <si>
    <t>The sentiment is 'bullish' because the deployment of additional forces to the Middle East by the Pentagon suggests increased geopolitical tensions in a region critical to global oil supplies, which typically leads to higher crude oil prices as traders factor in potential supply disruptions.</t>
  </si>
  <si>
    <t>Oil Refiners in US Slow Down, Stoking Global Crude Glut Worries</t>
  </si>
  <si>
    <t>https://www.bloomberg.com/news/articles/2024-08-11/oil-refiners-in-us-slow-down-stoking-global-crude-glut-worries</t>
  </si>
  <si>
    <t>The sentiment is 'bearish' because the slowdown in US oil refining activity implies a reduction in crude oil demand, which could exacerbate the existing global crude glut, leading to downward pressure on oil prices.</t>
  </si>
  <si>
    <t>Investor Behind Record $2.7 Billion Bond Bet Says Recession Near</t>
  </si>
  <si>
    <t>https://www.bloomberg.com/news/articles/2024-08-08/mystery-buyer-of-record-bond-etf-bet-says-a-us-recession-is-near</t>
  </si>
  <si>
    <t>The sentiment is 'bearish' because the article's focus on a record bond bet suggesting a recession is near indicates a pessimistic outlook on the economy, which is often accompanied by decreasing oil demand and subsequently lower prices.</t>
  </si>
  <si>
    <t>Citi sees possible bounce in oil prices to low-to-mid-$80s</t>
  </si>
  <si>
    <t>https://www.reuters.com/markets/commodities/citi-sees-possible-bounce-oil-prices-low-to-mid-80s-2024-08-08/</t>
  </si>
  <si>
    <t>The sentiment is 'bullish' because the headline suggests a potential increase in oil prices, which is a positive outlook, implying that the bank is optimistic about the future direction of oil prices.</t>
  </si>
  <si>
    <t>Oil settles 2% higher on falling US crude stockpiles, rebounds from multi-month lows</t>
  </si>
  <si>
    <t>https://www.reuters.com/markets/commodities/oil-edges-lower-surprise-build-us-crude-gasoline-stocks-2024-08-07/</t>
  </si>
  <si>
    <t>The sentiment is 'bullish' because the headline indicates that oil prices are rising due to a decline in US crude stockpiles, which suggests a tighter supply-demand balance and therefore a positive outlook for the commodity.</t>
  </si>
  <si>
    <t>Saudi Aramco Seeks More China Deals in Oil-to-Chemicals Push</t>
  </si>
  <si>
    <t>https://www.bloomberg.com/news/articles/2024-08-08/saudi-aramco-seeks-more-china-deals-in-oil-to-chemicals-push</t>
  </si>
  <si>
    <t>The sentiment is 'bullish' because the headline suggests that Saudi Aramco is expanding its footprint in China, which could lead to increased revenue and growth opportunities for the company, thereby boosting investor confidence and sentiment.</t>
  </si>
  <si>
    <t>Oil prices settle higher; signs of tighter supply end 3-day swoon</t>
  </si>
  <si>
    <t>https://www.reuters.com/markets/commodities/oil-prices-rise-over-1-mounting-concerns-over-middle-east-supply-2024-08-05/</t>
  </si>
  <si>
    <t>The sentiment is 'bullish' because the phrase "signs of tighter supply" suggests that the market is expecting a reduction in available oil, which can drive prices up, and the fact that prices are settling higher after a 3-day decline indicates a reversal of the downward trend.</t>
  </si>
  <si>
    <t>A â€˜Textbook Turnaround Tuesdayâ€™ Doesnâ€™t Mean Meltdown Is Over</t>
  </si>
  <si>
    <t>https://www.bloomberg.com/news/articles/2024-08-06/turnaround-tuesday-can-prove-lucrative-but-not-always-durable</t>
  </si>
  <si>
    <t>The sentiment is 'bearish' because the headline suggests that despite a short-term market rebound, long-term concerns and potential for a meltdown still exist, implying that investors should remain cautious and skeptical about the sustainability of the recent turnaround.</t>
  </si>
  <si>
    <t>Algo Oil Tradersâ€™ Selling Seen Mostly Done After Furious Rout</t>
  </si>
  <si>
    <t>https://www.google.com/url?sa=t&amp;rct=j&amp;q=&amp;esrc=s&amp;source=newssearch&amp;cd=&amp;ved=2ahUKEwiamNOpw5eMAxUGRmwGHTi2Av44oAEQxfQBKAB6BAgKEAE&amp;url=https%3A%2F%2Fwww.bloomberg.com%2Fnews%2Farticles%2F2024-08-06%2Falgo-oil-traders-selling-seen-mostly-done-after-furious-rout&amp;usg=AOvVaw1nlwQ5a_fnMSoL4dzJWpKD&amp;opi=89978449</t>
  </si>
  <si>
    <t>The sentiment is 'bullish' because the headline suggests that the intense selling pressure, which led to a furious rout in oil prices, is now subsiding, implying that the market may have bottomed out and is poised for a potential rebound.</t>
  </si>
  <si>
    <t>Donâ€™t Panic: Hereâ€™s Whatâ€™s Behind Todayâ€™s Sell-Off</t>
  </si>
  <si>
    <t>https://www.bloomberg.com/news/newsletters/2024-08-05/don-t-panic-here-s-what-s-behind-today-s-sell-off</t>
  </si>
  <si>
    <t>The sentiment is 'bullish' because the headline's reassuring tone and emphasis on understanding the reasons behind the sell-off implies that the downturn is temporary and potentially a buying opportunity, rather than a cause for prolonged concern.</t>
  </si>
  <si>
    <t>Oil Climbs From Seven-Month Low as Israel Braces for Attack</t>
  </si>
  <si>
    <t>https://www.bloomberg.com/news/articles/2024-08-04/latest-oil-market-news-and-analysis-for-aug-5</t>
  </si>
  <si>
    <t>The sentiment is 'bullish' because the headline suggests that oil prices are rising, which implies an increase in demand or a decrease in supply, likely driven by geopolitical tensions and uncertainty surrounding the potential attack, which typically supports higher oil prices.</t>
  </si>
  <si>
    <t>U.S. crude oil falls to six-month low as market sells off on recession fears</t>
  </si>
  <si>
    <t>https://www.cnbc.com/2024/08/05/crude-oil-prices-today.html</t>
  </si>
  <si>
    <t>The sentiment is 'bearish' because the headline explicitly states that the market is selling off due to recession fears, which is a clear indicator of negative market sentiment and downward price pressure on crude oil.</t>
  </si>
  <si>
    <t>Oil falls as global equities selloff offsets rising Middle East tensions</t>
  </si>
  <si>
    <t>https://www.reuters.com/business/energy/oil-hovers-8-month-lows-us-recession-fears-offset-mideast-tensions-2024-08-05/</t>
  </si>
  <si>
    <t>The sentiment is 'bearish' because the headline implies that the negative impact of a global equities selloff on oil prices outweighs the positive impact of rising Middle East tensions, which typically support prices.</t>
  </si>
  <si>
    <t>Libyaâ€™s Biggest Oil Field Sharara Fully Halts Production - Bloomberg.com</t>
  </si>
  <si>
    <t>https://news.google.com/rss/articles/CBMiswFBVV95cUxQNnpnVjN1Mno3UnNnQWxtRDB1bVlkRmVhLTU5dE9WOGR3eDJjVjNnRW9NVTM0Wm5OUXZ0UTNNWHRrZG9heWx6UmUtSDNPeFZ1WWcxNm1neTZqSkRLcDZIVGtObzJKNU9tVEpXYzBZem92WXB1QlpVODdJSnROOGwxWjFqZXF0Wm5HMTdFbjZXQlBzRmlIZmZ0WExLOC1IS3Z1NXdyUlJfRTFlakprdUJfWW9oSQ?oc=5</t>
  </si>
  <si>
    <t>The sentiment is not 'bullish' because a halt in production at Libya's largest oil field, Sharara, would likely reduce global oil supplies, leading to higher prices, which would be bearish for the market, not bullish.</t>
  </si>
  <si>
    <t>Guyana Fight Shows Big Oilâ€™s Need for Cheap Crude</t>
  </si>
  <si>
    <t>https://www.bloomberg.com/news/newsletters/2024-08-05/guyana-dispute-between-exxon-and-chevron-shows-big-oil-s-need-for-cheap-crude</t>
  </si>
  <si>
    <t>The sentiment is 'bearish' because the headline suggests that Big Oil's need for cheap crude is driving a fight in Guyana, implying that the industry is struggling to maintain profitability, which could negatively impact oil prices and the overall market.</t>
  </si>
  <si>
    <t>Diamondback Energy Raises Full-Year Crude-Production Target</t>
  </si>
  <si>
    <t>https://www.bloomberg.com/news/articles/2024-08-05/diamondback-energy-raises-full-year-crude-production-target</t>
  </si>
  <si>
    <t>The sentiment is 'bullish' because the headline indicates that Diamondback Energy has increased its full-year crude-production target, implying optimism about its ability to meet or exceed previous expectations, which is typically viewed as a positive signal for investors and the company's stock performance.</t>
  </si>
  <si>
    <t>Saudi Arabia Raises Oil Prices to Asia in Sign of Faith in Demand</t>
  </si>
  <si>
    <t>https://www.bloomberg.com/news/articles/2024-08-04/saudi-arabia-hikes-oil-prices-to-asia-in-sign-of-faith-in-demand</t>
  </si>
  <si>
    <t>The sentiment is 'bullish' because the increase in oil prices to Asia signals Saudi Arabia's confidence in strong demand from the region, which is a key driver of global oil consumption, implying a positive outlook for oil markets.</t>
  </si>
  <si>
    <t>Oil Set for Weekly Drop as Demand Woes Offset Middle East Risk</t>
  </si>
  <si>
    <t>https://www.bloomberg.com/news/articles/2024-08-01/latest-oil-market-news-and-analysis-for-aug-2</t>
  </si>
  <si>
    <t>The sentiment is 'bearish' because the headline suggests that concerns about dwindling demand are outweighing the potential bullish impact of Middle East tensions, implying that the overall market outlook is still tilted towards a decline in oil prices.</t>
  </si>
  <si>
    <t>Chevron to Leave California for Texas, as Regulations Mount in Golden State - WSJ</t>
  </si>
  <si>
    <t>https://news.google.com/rss/articles/CBMiwAFBVV95cUxQQmNTWUU2UkF0N1hDMTdXLWtDVUR2VFRBUFNraHhRbUV2MllYLVBINjJBdnZrcDlPTDEyUG0xYjcybFFtakIzMXE0WVJ1UVFqaTRZYktCVVlaUnFrV3pJdmNkQjQtcjI4VElkWWxzV2ZhUmRKNTdhVjFqTm5GbGRYOHBYRnJacWNFTEdpNG1MaEs1RjVxVUtpMGpGeUYyWDZtaWlEc05kTGlzYlc0ZGhwdnlqZTR2dU9TT2xkandBTWQ?oc=5</t>
  </si>
  <si>
    <t>The sentiment is not 'bullish' because the headline suggests that Chevron is leaving California due to mounting regulations, implying a negative business environment, rather than a positive development for the company or the industry.</t>
  </si>
  <si>
    <t>Oil falls, Brent settles at 7-month low after disappointing US job numbers</t>
  </si>
  <si>
    <t>https://www.reuters.com/business/energy/oil-set-fall-fourth-week-demand-concerns-weigh-sentiment-2024-08-02/</t>
  </si>
  <si>
    <t>The sentiment is 'bearish' because a disappointing US jobs report implies weaker economic growth, which typically leads to reduced fuel demand and subsequently lower oil prices.</t>
  </si>
  <si>
    <t>Hedge Funds Cut Bullish Brent Bets Most Since 2022 Amid Selloff</t>
  </si>
  <si>
    <t>https://www.bnnbloomberg.ca/investing/2024/08/02/hedge-funds-cut-bullish-brent-bets-most-since-2022-amid-selloff/</t>
  </si>
  <si>
    <t>The sentiment is 'bearish' because the headline suggests that hedge funds, which are typically seen as a proxy for speculative sentiment, are reducing their long positions in Brent crude, implying a decrease in optimism about price direction, which is a bearish signal.</t>
  </si>
  <si>
    <t>Exxon Almost Walked Away From Its $1 Trillion Oil Discovery</t>
  </si>
  <si>
    <t>https://www.bloomberg.com/news/features/2024-08-01/exxon-almost-walked-away-from-1-trillion-guyana-oil-discovery</t>
  </si>
  <si>
    <t>The sentiment is 'bearish' because the headline implies that Exxon had serious doubts about the viability or profitability of its massive oil discovery, which could suggest that the project's economics are not as robust as initially thought, potentially negatively impacting the company's stock price or future oil production outlook.</t>
  </si>
  <si>
    <t>Europeâ€™s energy crisis is over, signals Shell boss</t>
  </si>
  <si>
    <t>https://www.ft.com/content/85eee3eb-6ee7-404b-b89d-778631426f06</t>
  </si>
  <si>
    <t>The sentiment is not 'bearish' because a headline suggesting that the energy crisis in Europe is over implies a decrease in energy prices and increased supply, which would be a positive development for consumers and the economy, not a negative one.</t>
  </si>
  <si>
    <t>U.S. crude oil falls 2% as economic worries outweigh Middle East escalation</t>
  </si>
  <si>
    <t>https://www.cnbc.com/2024/08/01/crude-oil-prices-today.html</t>
  </si>
  <si>
    <t>The sentiment is 'bearish' because the headline suggests that the negative impact of economic worries on oil demand is outweighing the potential supply disruptions caused by the Middle East escalation, indicating a downward pressure on oil prices.</t>
  </si>
  <si>
    <t>Oil gains nearly 3% on rising Mideast tension, falling US crude stockpiles</t>
  </si>
  <si>
    <t>https://www.reuters.com/markets/commodities/oil-claws-back-some-losses-after-israel-retaliates-against-hezbollah-2024-07-31/</t>
  </si>
  <si>
    <t>The sentiment is 'bullish' because the headline highlights two positive factors for oil prices, namely rising Mideast tension which implies potential supply disruptions, and falling US crude stockpiles which suggests strong demand and tight supply.</t>
  </si>
  <si>
    <t>Nigeria's struggle to break the 'oil curse' | FT Film</t>
  </si>
  <si>
    <t>https://www.ft.com/video/a48a12f1-a4be-4cdf-93d6-8ea7036b275e</t>
  </si>
  <si>
    <t>The sentiment is 'bearish' because the "oil curse" implying that Nigeria's economy is heavily reliant on oil exports, which makes it vulnerable to fluctuations in global oil prices, and thus, may have negative implications for the country's economic growth and stability.</t>
  </si>
  <si>
    <t>Oil Rises After Industry Report Shows Another US Stockpile Draw</t>
  </si>
  <si>
    <t>https://www.bloomberg.com/news/articles/2024-07-30/latest-oil-market-news-and-analysis-for-july-31</t>
  </si>
  <si>
    <t>The sentiment is 'bullish' because a draw in US stockpiles indicates a decrease in supply, which typically leads to higher prices, as it suggests that demand is outpacing supply and inventories are being depleted.</t>
  </si>
  <si>
    <t>Nigeriaâ€™s Dangote refinery embroiled in billionaireâ€™s feud with government</t>
  </si>
  <si>
    <t>https://www.ft.com/content/290d6195-5f46-4548-944c-107d49e3f07d</t>
  </si>
  <si>
    <t>The sentiment is 'bearish' because the headline suggests that the Dangote refinery, a major oil project in Nigeria, is facing challenges and potential disruptions due to a conflict between the billionaire owner and the government, which could negatively impact the refinery's operations and the broader oil market.</t>
  </si>
  <si>
    <t>Russiaâ€™s Crude Exports Slump to the Lowest in 11 Months</t>
  </si>
  <si>
    <t>https://www.bloomberg.com/news/articles/2024-07-30/russia-s-oil-exports-slump-to-the-lowest-in-11-months</t>
  </si>
  <si>
    <t>The sentiment is not 'bullish' because a decrease in Russia's crude exports, the world's second-largest oil exporter, would typically tighten global supplies and put upward pressure on prices, which would be bearish for the market, not bullish.</t>
  </si>
  <si>
    <t>Oil Edges Higher From Near Six-Week Low on China Recovery Hopes</t>
  </si>
  <si>
    <t>https://www.bloomberg.com/news/articles/2024-07-28/latest-oil-market-news-and-analysis-for-july-29</t>
  </si>
  <si>
    <t>The sentiment is 'bullish' because the headline suggests that oil prices are rebounding from a near six-week low on the back of optimistic expectations for China's economic recovery, which would likely boost oil demand and support price growth.</t>
  </si>
  <si>
    <t>Oil settles slightly up as global supply risks offset US demand concerns</t>
  </si>
  <si>
    <t>https://www.reuters.com/markets/commodities/oil-edges-lower-after-industry-group-reports-jump-us-stockpiles-2024-06-26/</t>
  </si>
  <si>
    <t>The sentiment is 'unrelated' because the headline does not convey a clear positive, negative, or neutral emotional tone, as it presents a balanced view of opposing market forces, namely supply risks and demand concerns, without leaning towards a particular direction or outlook.</t>
  </si>
  <si>
    <t>Oil falls 1.5%, ends week lower on China demand fears</t>
  </si>
  <si>
    <t>https://www.reuters.com/business/energy/oil-edges-up-strong-us-gdp-data-asia-economic-woes-limit-gains-2024-07-26/</t>
  </si>
  <si>
    <t>The sentiment is 'bearish' because the headline explicitly states that oil prices fell and ended the week lower, which is a clear indication of a downward movement in the market, fueled by concerns over weakening demand from China, a major oil consumer.</t>
  </si>
  <si>
    <t>Wall Street Says a Trump Presidency Could Send Oil Prices Lower</t>
  </si>
  <si>
    <t>https://www.bloomberg.com/news/articles/2024-07-26/wall-street-says-a-trump-presidency-could-send-oil-prices-lower</t>
  </si>
  <si>
    <t>The sentiment is 'bearish' because a Trump presidency is associated with increased oil supply from the US, potentially leading to a global surplus and downward pressure on oil prices, which could negatively impact oil prices and the oil industry as a whole.</t>
  </si>
  <si>
    <t>Goldman Sachs says next US president to have limited tools to significantly boost 2025 oil supply</t>
  </si>
  <si>
    <t>https://www.reuters.com/business/energy/goldman-sachs-says-next-us-president-have-limited-tools-significantly-boost-2025-2024-07-26/</t>
  </si>
  <si>
    <t>The sentiment is 'bearish' because the implication of the headline is that the next US president will be unable to significantly increase oil supply in 2025, which could lead to tighter market conditions and higher prices, thus benefiting oil producers and traders who are long on oil.</t>
  </si>
  <si>
    <t>Chinaâ€™s Gloomy Economy Makes US, European Oil Too Pricey in Asia</t>
  </si>
  <si>
    <t>https://www.bloomberg.com/news/articles/2024-07-24/china-s-gloomy-economy-makes-us-european-oil-too-pricey-in-asia</t>
  </si>
  <si>
    <t>The sentiment is 'bearish' because the headline suggests that China's economic slowdown is reducing demand for US and European oil in Asia, which implies a downward pressure on oil prices, which is a bearish signal for the oil market.</t>
  </si>
  <si>
    <t>Reliance Gets US Approval to Resume Crude Imports from Venezuela</t>
  </si>
  <si>
    <t>https://www.bloomberg.com/news/articles/2024-07-24/reliance-gets-us-approval-to-resume-crude-imports-from-venezuela</t>
  </si>
  <si>
    <t>The sentiment is 'bullish' because the resumption of crude imports from Venezuela is likely to increase Reliance's refining margins and boost its profitability, as Venezuelan crude is often priced at a discount to other grades.</t>
  </si>
  <si>
    <t>Cheap Price for North Sea Oil Shows Demand Remains Muted</t>
  </si>
  <si>
    <t>https://www.bloomberg.com/news/articles/2024-07-23/cheap-price-for-north-sea-oil-highlights-demand-remains-muted</t>
  </si>
  <si>
    <t>The sentiment is 'bearish' because the headline suggests that the demand for North Sea oil is weak, which is likely to put downward pressure on prices, indicating a pessimistic outlook for the oil market.</t>
  </si>
  <si>
    <t>Venezuelaâ€™s Maduro Tries to Befriend U.S. Investors in Election Makeover - WSJ</t>
  </si>
  <si>
    <t>https://news.google.com/rss/articles/CBMitAFBVV95cUxNNlZzekNWeWtPNTNORUlhcDJZLWZKMjA5aUxGQmVaQlZUSm5UV0NtZXdSUDlEQnVfakNFbDFKSkpmSnFtV3Bzd3RqWDJxN3ZtdUNHTlVKaE8yZ0E1NTJIZlRoLTZxLU5TMU54QjRfelVtRzI0QzVpa1FVTjhaVTBPdVI2d0FhdWZ0Wkh6RlJ5am5Yb1F4bTI5bTFlZnQ4SndBYTFjMFhPVVRpd01xcVJQSE9oUFY?oc=5</t>
  </si>
  <si>
    <t>The sentiment is 'bullish' because a potential rapprochement between the Venezuelan government and U.S. investors could lead to increased foreign investment in the country's oil sector, potentially boosting production and exports, and therefore supporting oil prices.</t>
  </si>
  <si>
    <t>Oil market likely to be in surplus next year, Morgan Stanley says</t>
  </si>
  <si>
    <t>https://www.reuters.com/business/energy/oil-market-likely-be-surplus-next-year-morgan-stanley-says-2024-07-22/</t>
  </si>
  <si>
    <t>The sentiment is 'bearish' because a surplus in the oil market typically implies downward pressure on prices, as excess supply chases limited demand, which would negatively impact oil producers and be a bearish signal for the market.</t>
  </si>
  <si>
    <t>Oil-Field Service Companies Ask: Where Did All the Wildcatters Go? - WSJ</t>
  </si>
  <si>
    <t>https://news.google.com/rss/articles/CBMiswFBVV95cUxQN0VNQ0l4VlhzenZNRTV5bmkxOTVoR0RpRVdrM2l4VUR3M0xtVHZzbzJSLXowd05KN2txODNBeWx4TTE5ckVnM2l6ZUdNQ3pibzVpVlVqWDNySkFlYzBoNG5kZE9iMHRSN2RfMzVaMmRvazNuT1dLTXNRVmlBWjh3TjZCalNISk5HZXhpY215SlFFY19BMW1oSXZRdnRTbmI3ZlJzeXZ6XzA5Z294V2lSald3VQ?oc=5</t>
  </si>
  <si>
    <t>The sentiment is 'bearish' because the headline suggests that the decline in wildcatters, who are typically small, independent oil and gas operators, may be an indication of a lack of investment opportunities or a downturn in the oil and gas industry, which could negatively impact oil-field service companies' revenues and profitability.</t>
  </si>
  <si>
    <t>Oil Declines as Focus Turns to Chinaâ€™s Slowdown, Supply Outlook</t>
  </si>
  <si>
    <t>https://www.bloomberg.com/news/articles/2024-07-18/latest-oil-market-news-and-analysis-for-july-19</t>
  </si>
  <si>
    <t>The sentiment is 'bearish' because the headline explicitly mentions a slowdown in China, a major oil consumer, and implies a potential increase in supply, both of which are typically seen as negative factors for oil prices.</t>
  </si>
  <si>
    <t>Oil slips as strong dollar, China worries offset supply outlook</t>
  </si>
  <si>
    <t>https://www.reuters.com/markets/commodities/oil-drops-weak-sentiment-set-weekly-decline-2024-07-19/</t>
  </si>
  <si>
    <t>The sentiment is 'bearish' because the headline suggests that the positive impact of a tightening supply outlook is being outweighed by the negative effects of a strong dollar and concerns about China's economy, implying that oil prices are likely to decline or remain under pressure.</t>
  </si>
  <si>
    <t>Oil Extends Advance After US Crude Stockpiles Post Another Drop</t>
  </si>
  <si>
    <t>https://www.bloomberg.com/news/articles/2024-07-17/latest-oil-market-news-and-analysis-for-july-18</t>
  </si>
  <si>
    <t>The sentiment is 'bullish' because a decline in US crude stockpiles suggests a tightening of supply in the market, which can lead to higher prices and a more optimistic outlook for oil producers and investors.</t>
  </si>
  <si>
    <t>Nigeriaâ€™s Mega Refinery Priced Out of Local Crude, Dangote Says</t>
  </si>
  <si>
    <t>https://www.bloomberg.com/news/articles/2024-07-18/nigeria-s-mega-refinery-priced-out-of-local-crude-dangote-says</t>
  </si>
  <si>
    <t>The sentiment is 'bearish' because the headline implies that Dangote's mega refinery, a major investment in Nigeria's energy sector, is facing difficulties in accessing local crude oil, which could negatively impact the project's viability and the country's overall oil industry.</t>
  </si>
  <si>
    <t>Oil prices gain 2% on big US storage withdrawal, weaker US dollar</t>
  </si>
  <si>
    <t>https://www.reuters.com/business/energy/oil-prices-steady-slowing-demand-offsets-tightening-supply-2024-07-17/</t>
  </si>
  <si>
    <t>The sentiment is 'bullish' because the combination of a large US storage withdrawal, which suggests strong demand and/or supply constraints, and a weaker US dollar, which makes oil more attractive to holders of other currencies, is likely to support oil prices and indicates a positive outlook for the market.</t>
  </si>
  <si>
    <t>Oil Halts Run of Losses on Estimate for US Crude Inventory Draw</t>
  </si>
  <si>
    <t>https://www.google.com/url?sa=t&amp;rct=j&amp;q=&amp;esrc=s&amp;source=newssearch&amp;cd=&amp;ved=2ahUKEwjhteDB7JOMAxXIxjgGHQGDDh04RhDF9AEoAHoECAwQAQ&amp;url=https%3A%2F%2Fwww.bloomberg.com%2Fnews%2Farticles%2F2024-07-16%2Flatest-oil-market-news-and-analysis-for-july-17&amp;usg=AOvVaw1sZEfYgHqqtsT1AH1_u3ST&amp;opi=89978449</t>
  </si>
  <si>
    <t>The sentiment is 'bullish' because a draw in US crude inventory suggests a tightening of supply in the market, which can lead to higher prices and is therefore interpreted as a positive development for oil prices.</t>
  </si>
  <si>
    <t>Oil Steadies as Traders Look to Dollar and China for Next Cues</t>
  </si>
  <si>
    <t>https://www.bloomberg.com/news/articles/2024-07-15/latest-oil-market-news-and-analysis-for-july-16</t>
  </si>
  <si>
    <t>The sentiment is 'unrelated' because the headline does not convey a clear positive, negative, or neutral emotional tone, as it simply reports on the current state of the oil market, citing the dollar and China as potential influencers, without expressing a personal opinion or bias.</t>
  </si>
  <si>
    <t>Why Is the Oil Industry Booming?</t>
  </si>
  <si>
    <t>https://www.nytimes.com/2024/07/16/business/energy-environment/oil-company-profits.html</t>
  </si>
  <si>
    <t>The sentiment is 'bullish' because a booming oil industry typically implies a strong demand for oil, higher prices, and increased profitability for oil companies, which are all positive indicators for the industry.</t>
  </si>
  <si>
    <t>Oil Slips in Listless Summer Trade With Chinese Data in Focus</t>
  </si>
  <si>
    <t>https://www.bloomberg.com/news/articles/2024-07-14/latest-oil-market-news-and-analysis-for-july-15</t>
  </si>
  <si>
    <t>The sentiment is 'bearish' because the headline suggests that oil prices are falling due to a lack of market activity, which is often seen as a lack of bullish conviction, and the focus on Chinese data implies that the market is bracing for potentially disappointing economic indicators that could weigh on oil demand.</t>
  </si>
  <si>
    <t>Saudi Arabia Ramps Up Purchases of Dirtiest Oil Amid Scorching Summer</t>
  </si>
  <si>
    <t>https://www.bloomberg.com/news/articles/2024-07-12/saudi-arabia-ramps-up-purchases-of-dirtiest-oil-amid-scorching-summer</t>
  </si>
  <si>
    <t>The sentiment is 'bullish' because increased purchases of oil, even the dirtiest kind, indicate higher demand, which can drive up prices and benefit oil producers and investors.</t>
  </si>
  <si>
    <t>Oil prices settle down after data shows weaker US consumer sentiment</t>
  </si>
  <si>
    <t>https://www.reuters.com/business/energy/oil-rises-cooling-us-inflation-strong-summer-demand-2024-07-12/</t>
  </si>
  <si>
    <t>The sentiment is 'bearish' because weaker US consumer sentiment implies reduced consumer spending, which in turn suggests lower demand for petroleum products, putting downward pressure on oil prices.</t>
  </si>
  <si>
    <t>Assessing the extent and persistence of major crisis events in the crude oil market and economy: evidence from the past 30 years</t>
  </si>
  <si>
    <t>https://www.nature.com/articles/s41599-024-03364-z</t>
  </si>
  <si>
    <t>The sentiment is 'unrelated' because the headline is focused on presenting a factual analysis of crisis events in the crude oil market and economy over the past 30 years, without expressing a clear opinion, emotion, or bias, which is typical of neutral or unrelated sentiment.</t>
  </si>
  <si>
    <t>IEA Cuts 2025 Oil Demand Forecast, Lifts Supply View</t>
  </si>
  <si>
    <t>https://www.wsj.com/business/energy-oil/iea-cuts-2025-oil-demand-forecast-lifts-supply-view-84a19fba</t>
  </si>
  <si>
    <t>The sentiment is 'bearish' because a cut in oil demand forecast implies a potential surplus in the market, which could lead to downward pressure on prices, while a lifted supply view further supports the notion that the market may be oversupplied, also bearish for prices.</t>
  </si>
  <si>
    <t>Oil rises settles higher; US inflation data feeds rate cut hopes</t>
  </si>
  <si>
    <t>https://www.reuters.com/business/energy/oil-prices-tick-up-crude-gasoline-inventories-ease-2024-07-11/</t>
  </si>
  <si>
    <t>The sentiment is 'bullish' because the headline suggests that oil prices are rising due to expectations of a rate cut, which would increase economic activity and therefore demand for oil, supporting higher prices.</t>
  </si>
  <si>
    <t>BMO bullish on Canadian energy names, despite WTI price weakness</t>
  </si>
  <si>
    <t>https://www.bnnbloomberg.ca/investing/commodities/2024/07/10/bmo-bullish-on-canadian-energy-names-despite-wti-price-weakness/</t>
  </si>
  <si>
    <t>The sentiment is 'bullish' because BMO's positive outlook on Canadian energy names suggests that the investment bank believes these companies have strong fundamentals that can weather the current WTI price weakness, potentially leading to outperformance in the sector.</t>
  </si>
  <si>
    <t>Bird flu: How US states are testing cattle and humans for the virus</t>
  </si>
  <si>
    <t>https://www.reuters.com/business/healthcare-pharmaceuticals/how-us-states-are-testing-cattle-humans-bird-flu-2024-07-10/</t>
  </si>
  <si>
    <t>The sentiment is 'unrelated' because the headline explicitly discusses the testing of cattle and humans for the bird flu virus, which has no direct connection to the oil market, making it an unrelated topic from an oil market analyst's perspective.</t>
  </si>
  <si>
    <t>Dozens of Sanctioned Russian Oil Tankers Are Sitting Idle All Over the World</t>
  </si>
  <si>
    <t>https://www.bloomberg.com/news/articles/2024-07-10/dozens-of-sanctioned-russian-oil-tankers-are-sitting-idle-all-over-the-world</t>
  </si>
  <si>
    <t>The sentiment is 'bullish' because the idle tankers suggest a reduction in Russian oil supply, which could lead to tighter market conditions and higher prices, ultimately benefiting oil producers and bullish investors.</t>
  </si>
  <si>
    <t>Devon Energy Nabs Williston Basin Driller in $5 Billion Deal - WSJ</t>
  </si>
  <si>
    <t>https://news.google.com/rss/articles/CBMiowFBVV95cUxNbjhqVjFxMXRJbzBFcmtqT25jUmFNc1NTcm9XSm1kVlhvZWUwV0tYa2Y1NVF1dVJLUVlzYWdSSEc5YUpiVEhrYktDLXQtOE5HMjllNHR3andwRThqamNEMGV0cW9LY0NIaFpUQ1NyNktiWENvNFJfOEpWY0E3UjhNSzhBR2IyR2FSNjZJbUpZT1lFRHJ3YW1tR2FwT0FSM0FKN0lz?oc=5</t>
  </si>
  <si>
    <t>The sentiment is 'bullish' because the acquisition suggests that Devon Energy is confident in the potential of the Williston Basin and the oil market in general, which implies a positive outlook on future oil prices and demand.</t>
  </si>
  <si>
    <t>Russian Oil Deliveries Keep Getting Cheaper Despite Sanctions</t>
  </si>
  <si>
    <t>https://www.bloomberg.com/news/articles/2024-07-08/russian-oil-deliveries-keep-getting-cheaper-despite-sanctions</t>
  </si>
  <si>
    <t>The sentiment is 'bearish' because the decline in prices of Russian oil deliveries despite sanctions suggests that the market is well-supplied and that the sanctions have not had a significant impact on reducing supply, which could lead to further downward pressure on oil prices.</t>
  </si>
  <si>
    <t>Bird flu strain in US cows shows minimal air spread in ferret study</t>
  </si>
  <si>
    <t>https://www.reuters.com/business/healthcare-pharmaceuticals/bird-flu-strain-us-cows-shows-minimal-air-spread-ferret-study-2024-07-08/</t>
  </si>
  <si>
    <t>The sentiment is 'unrelated' because this headline appears to report on a study about bird flu transmission in ferrets and its relevance to cows, which has no apparent connection to the oil market, making it an unrelated topic in the context of oil market analysis.</t>
  </si>
  <si>
    <t>BMI Reveals Latest Oil Price Forecast</t>
  </si>
  <si>
    <t>https://www.google.com/url?sa=t&amp;rct=j&amp;q=&amp;esrc=s&amp;source=newssearch&amp;cd=&amp;ved=2ahUKEwjD5Pb6w5eMAxWWSGwGHfquGEA4qgEQxfQBKAB6BAgQEAE&amp;url=https%3A%2F%2Fwww.rigzone.com%2Fnews%2Fbmi_reveals_latest_oil_price_forecast-05-jul-2024-177312-article%2F&amp;usg=AOvVaw2YKgZvxhIk82SUY3wSy-Rv&amp;opi=89978449</t>
  </si>
  <si>
    <t>The sentiment is 'bullish' because a forecast from a reputable organization like BMI is likely to indicate a potential increase in oil prices, which would be a positive outlook for oil producers and investors.</t>
  </si>
  <si>
    <t>Saudi Crude Shipments Plummet to Pandemic-Era Levels</t>
  </si>
  <si>
    <t>https://www.bloomberg.com/news/newsletters/2024-07-05/saudi-oil-exports-plummet-to-pandemic-era-levels-with-benefits-for-russia</t>
  </si>
  <si>
    <t>The sentiment is not 'bullish' because a decline in Saudi crude shipments to pandemic-era levels suggests a potential supply shortage, which could lead to higher oil prices and tighter market conditions, not a bullish market outlook.</t>
  </si>
  <si>
    <t>US investigating Chinese swimmers doping case</t>
  </si>
  <si>
    <t>https://www.reuters.com/sports/us-investigating-chinese-swimmer-doping-case-2024-07-05/</t>
  </si>
  <si>
    <t>The sentiment is 'unrelated' because this headline is about a doping investigation in the sports world and has no connection to the oil market, making it an unrelated topic for oil market analysis.</t>
  </si>
  <si>
    <t>Brent crude trades above $87, sets highest levels since April</t>
  </si>
  <si>
    <t>https://www.reuters.com/markets/commodities/oil-prices-slip-after-data-points-cooling-us-economy-2024-07-04/</t>
  </si>
  <si>
    <t>The sentiment is 'bullish' because the headline indicates a significant price increase, with Brent crude reaching its highest levels since April, implying a strong upward trend in the market.</t>
  </si>
  <si>
    <t>Brent crude trades above $87, sets highest levels since April - Reuters</t>
  </si>
  <si>
    <t>https://news.google.com/rss/articles/CBMirAFBVV95cUxOWVdfMUFrRV9uSWQzdXllTFcyOVp2SHZKNWlCZ2pCZ1o4WnFJMGlMaTFiRGcxeHBNejAwRGNqZnRLbU90Zjl0UTVsejNqXy1ZX0tzaFFac2dfaUZDV2szVVQ5a1dqSTQ3ZW5iVHJhLWY4OFJ0cXJfVVFXU0NGS1hzRjJOOXEzSzZJNVhhaGg5eUs5MmMzSUs5WkRzcWRGRDZ2UlJ1b2p4Y0IwSko1?oc=5</t>
  </si>
  <si>
    <t>The sentiment is 'bullish' because the headline indicates that Brent crude is trading at its highest level since April, implying a significant price increase, which is a positive development for oil producers and a indication of a tightening market.</t>
  </si>
  <si>
    <t>Climate Techâ€™s Dangerous Trek Across the â€˜Valley of Deathâ€™</t>
  </si>
  <si>
    <t>https://www.bloomberg.com/news/articles/2024-07-03/climate-tech-s-dangerous-trek-across-the-valley-of-death</t>
  </si>
  <si>
    <t>The sentiment is 'bearish' because the phrase "Valley of Death" implies a high risk of failure or collapse for climate tech companies, suggesting that the industry is facing significant challenges that could hinder its growth and progress.</t>
  </si>
  <si>
    <t>Spainâ€™s Imports of US Crude Oil Surged to a Record in May</t>
  </si>
  <si>
    <t>https://www.bloomberg.com/news/articles/2024-07-03/spain-s-imports-of-us-crude-oil-surged-to-a-record-in-may</t>
  </si>
  <si>
    <t>The sentiment is 'bullish' because a surge in Spain's imports of US crude oil to a record in May indicates strong demand for oil, which could lead to higher prices and support the overall oil market.</t>
  </si>
  <si>
    <t>U.S. Crude Oil Inventories Fall More Than Expected - WSJ</t>
  </si>
  <si>
    <t>https://news.google.com/rss/articles/CBMinwFBVV95cUxQWC1VNnRFQWlUTEJvRG5YeEI3OHhUNUk2b3RPX3liQ3d6NnhWSExIQVhCZDNka2dlby1Ib3hjb1VRUmVRbDNLbEZpTkNrNGtpejlGYms4WUxLcHdVNTlnQlo2WmJ2QVJJRHp1RkVZSWVDMW9DOVpJN01TbnVOSkxEdmJsNXJRQlZkdFNIbDRuOWlLUk80bWlRS2pHSG1YdFU?oc=5</t>
  </si>
  <si>
    <t>The sentiment is 'bullish' because a larger-than-expected decline in U.S. crude oil inventories suggests stronger demand or reduced supply, which can lead to higher oil prices.</t>
  </si>
  <si>
    <t>Oil Edges Higher on Signs of Major Drawdown in US Inventories</t>
  </si>
  <si>
    <t>https://www.bloomberg.com/news/articles/2024-07-02/latest-oil-market-news-and-analysis-for-july-3</t>
  </si>
  <si>
    <t>The sentiment is 'bullish' because a major drawdown in US inventories implies a reduction in supply, which typically leads to higher prices, making the headline optimistic about the oil market's direction.</t>
  </si>
  <si>
    <t>Oil benchmark Brent's price structure shows over-supply concern</t>
  </si>
  <si>
    <t>https://www.reuters.com/business/energy/oil-benchmark-brents-price-structure-shows-over-supply-concern-2023-06-28/</t>
  </si>
  <si>
    <t>The sentiment is 'bearish' because the headline specifically mentions 'over-supply concern', implying that the market is worried about a surplus of oil, which would put downward pressure on prices, supporting a bearish outlook.</t>
  </si>
  <si>
    <t>Trafigura, Gunvor demand sparks jump in Brent oil benchmark</t>
  </si>
  <si>
    <t>https://www.reuters.com/markets/commodities/trafigura-gunvor-demand-sparks-jump-brent-oil-benchmark-2024-06-28/</t>
  </si>
  <si>
    <t>The sentiment is 'bullish' because the demand from major oil traders like Trafigura and Gunvor suggests a strong appetite for oil, which can drive up prices and boost the Brent oil benchmark.</t>
  </si>
  <si>
    <t>Oil settles $1 up, war risk premium outweighs ample US stocks - Reuters</t>
  </si>
  <si>
    <t>https://news.google.com/rss/articles/CBMiwgFBVV95cUxOVzlORXNEVzZpSEt6TFFTWDZuSTlUVTdIMWVQUUswM0lybXBmM1UyUTRLeGpIRU96NHloNnZfdkhlc0RTZnJHWVJxdUY0bmtwSjBzazZZT2wxT2R4bVpwTHg0eHFDNDhGeHdsSW9BaTV6U01walJkNTBJMlIwNnp6N3VUazNGLWFfSXc1d3ZGZ2h6UXdTemo1SXVYd3FHOEhIcjh0QmdMMTgwSm8yUWk0QW4zLTZEN1E3M0lLbkVzSHI3QQ?oc=5</t>
  </si>
  <si>
    <t>The sentiment is 'bullish' because the headline implies that the war risk premium, which is a factor that drives prices up, is outweighing the downward pressure from ample US stocks, suggesting that the market is more concerned about supply disruptions than the current surplus in inventory.</t>
  </si>
  <si>
    <t>Oil settles $1 up, war risk premium outweighs ample US stocks</t>
  </si>
  <si>
    <t>https://www.reuters.com/markets/commodities/oil-prices-slide-fears-slow-us-demand-after-surprise-inventory-build-2024-06-27/</t>
  </si>
  <si>
    <t>The sentiment is 'bullish' because the headline implies that the market is more concerned about the potential for supply disruptions due to geopolitical tensions (i.e. the war risk premium) than it is about the currently ample US stock levels, which suggests that investors are willing to pay a premium for oil despite the abundance of supply.</t>
  </si>
  <si>
    <t>Oil prices rise on fuel demand expectations, easing US dollar - Reuters</t>
  </si>
  <si>
    <t>https://news.google.com/rss/articles/CBMisAFBVV95cUxOeEp5U05ldXB6bUp6czlpSjJCMXJTZnBhQUxIRWp1WmNTR1dsTW9WelhJVnlERUhsV1NOcS1BMjhJRnlNMlN2ZmtmVl9vTGNxX01NeEJ3eGpUaXNRcTNfYTdzYnpwaDRVaHVTNHhwSl9Za2EzbDVwT2ZvLWFOcGhua3M1NkJPOGwtYUFGWjRiVlRSX0tCOTFLcUdxNk50dE1SOGtJLWlhV2hZN1NCOFJCRQ?oc=5</t>
  </si>
  <si>
    <t>The sentiment is 'bullish' because the headline indicates that oil prices are increasing due to anticipated growth in fuel demand and a weakening US dollar, which are both positive factors that suggest a strengthening oil market.</t>
  </si>
  <si>
    <t>Oil prices ease on strong dollar, mixed global economic news</t>
  </si>
  <si>
    <t>https://www.reuters.com/business/energy/oil-prices-slip-rate-hike-worries-come-into-focus-2024-06-21/</t>
  </si>
  <si>
    <t>The sentiment is 'bearish' because a strong dollar typically makes oil more expensive for holders of other currencies, reducing demand and putting downward pressure on prices, while mixed global economic news can also suggest slower growth and correspondingly lower oil consumption.</t>
  </si>
  <si>
    <t>Former Hedge Fund Trader Builds $185 Million Burrito Fortune</t>
  </si>
  <si>
    <t>https://www.bloomberg.com/news/articles/2024-06-19/former-hedge-fund-trader-builds-135-million-burrito-fortune</t>
  </si>
  <si>
    <t>The sentiment is 'unrelated' because as an oil market analyst, the article about a former hedge fund trader building a fortune in the burrito industry has no connection or relevance to the oil market, making the sentiment "unrelated" a fitting categorization.</t>
  </si>
  <si>
    <t>Oil prices rise on US crude draw; jobs data feeds rate cut hopes</t>
  </si>
  <si>
    <t>https://www.reuters.com/business/energy/brent-rises-middle-east-war-while-wti-dips-ahead-inventories-report-2024-06-20/</t>
  </si>
  <si>
    <t>The sentiment is 'bullish' because the headline combines two positive factors, a decrease in US crude inventory (implying strong demand) and improved jobs data (suggesting a healthy economy that can support higher oil prices), which reinforces the notion that oil prices will continue to rise.</t>
  </si>
  <si>
    <t>Oil dips after hitting seven-week highs on demand hopes, war jitters - Reuters</t>
  </si>
  <si>
    <t>https://news.google.com/rss/articles/CBMivgFBVV95cUxQLWVfRXZqeGtJajZjLWhJLWttcHRkdjdreldTeUZNdFJwRHY0UHpIbVJOYmdPaXZKUXB0YmJuVE04Ti03UEtHQnBMR3ZYd1JRRGFLV0x4NFZoYm9SNHJ5ZEpKbF9XSjg3U3hfeFJxb2xLSWZPVEx0R0dKbmNEX0ZDeFJtV183bEVXOFVsMW1CdlI1QVlNOTZNMzM0WDZNZ002NlltZkM3LXBSaTNXX0NBbnJGOVA5YjUxbUh5cFNR?oc=5</t>
  </si>
  <si>
    <t>The sentiment is not 'bearish' because the headline mentions that oil prices were at seven-week highs, indicating a bullish trend, and the dip is likely a correction or a hesitation in the market, rather than a fundamental shift in the demand or supply dynamics.</t>
  </si>
  <si>
    <t>Oil settles over 1% higher on mounting tension in Europe, Mideast</t>
  </si>
  <si>
    <t>https://www.reuters.com/markets/commodities/oil-up-firming-demand-mideast-tensions-underpin-risk-premium-2024-06-18/</t>
  </si>
  <si>
    <t>The sentiment is 'bullish' because the headline suggests that oil prices are rising due to increasing geopolitical tensions in Europe and the Middle East, which typically lead to supply disruptions and increased demand for crude oil, thus supporting higher prices.</t>
  </si>
  <si>
    <t>Oil Prices Moving Higher as Demand Grows</t>
  </si>
  <si>
    <t>https://www.bloomberg.com/news/videos/2024-06-18/oil-prices-moving-higher-as-demand-grows-video</t>
  </si>
  <si>
    <t>The sentiment is 'bullish' because the headline suggests that growing demand is driving oil prices higher, implying a favorable outlook for oil producers and potentially leading to further price increases.</t>
  </si>
  <si>
    <t>Oil jumps, settles at highest in over a month on demand optimism</t>
  </si>
  <si>
    <t>https://www.reuters.com/business/energy/oil-prices-inch-down-weaker-us-consumer-demand-ahead-china-data-2024-06-17/</t>
  </si>
  <si>
    <t>The sentiment is 'bullish' because the headline explicitly mentions "demand optimism", which suggests that the market is expecting an increase in oil consumption, leading to higher prices.</t>
  </si>
  <si>
    <t>Oil Holds Biggest Weekly Gain Since April Ahead of China Data</t>
  </si>
  <si>
    <t>https://www.bloomberg.com/news/articles/2024-06-16/latest-oil-market-news-and-analysis-for-june-17</t>
  </si>
  <si>
    <t>The sentiment is 'bullish' because the phrase "biggest weekly gain since April" suggests a significant and unusual upward movement in oil prices, implying a strong positive momentum that may continue ahead of key data releases from China, a major oil consumer.</t>
  </si>
  <si>
    <t>Saudi Consumption â€” Not Production â€” Is Key to Peak Oil</t>
  </si>
  <si>
    <t>https://www.bloomberg.com/opinion/articles/2024-06-17/saudi-consumption-not-production-is-key-to-peak-oil</t>
  </si>
  <si>
    <t>The sentiment is 'bullish' because if Saudi consumption, rather than production, is the key to peak oil, it suggests that the kingdom's growing domestic demand will be the primary driver of declining global oil exports, potentially leading to higher prices and tighter markets, which is a bullish outlook for oil prices.</t>
  </si>
  <si>
    <t>Oil dips, but posts weekly gain on solid 2024 demand outlook</t>
  </si>
  <si>
    <t>https://www.reuters.com/markets/commodities/oil-prices-track-weekly-gain-solid-demand-outlook-2024-06-14/</t>
  </si>
  <si>
    <t>The sentiment is 'bullish' because the headline emphasizes the weekly gain in oil prices driven by a solid demand outlook for 2024, implying that the market is looking beyond short-term dips and focusing on the positive fundamentals that will support prices in the long run.</t>
  </si>
  <si>
    <t>Standard Bank (SBK) Set to Help Fund $5 Billion East African Oil Pipeline</t>
  </si>
  <si>
    <t>https://www.bloomberg.com/news/articles/2024-06-13/standard-bank-set-to-help-fund-5-billion-african-oil-pipeline</t>
  </si>
  <si>
    <t>The sentiment is 'bullish' because the involvement of a reputable financial institution like Standard Bank in funding the East African Oil Pipeline project signals a vote of confidence in the project's viability and potential for returns, which could boost investor sentiment around the companies involved.</t>
  </si>
  <si>
    <t>Fed Projects Just One Cut This Year Despite Mild Inflation Report - WSJ</t>
  </si>
  <si>
    <t>https://news.google.com/rss/articles/CBMikwFBVV95cUxNTXp1QnhHNURlaHpNYkJqMjdFUWtNaVpQM2xzMWwxTVJOSXk2dDJuWjhQc0E0ZFF1MmFvRVpuVTNSajZiOC00WTRXNjNPdTR5WmMtV0ZZeTBYeFRmb0dpeW5nRXRhRkRXUEtVQ1NlcG1sWHFaeGVEblRpOVBzS0N4MTFpRGYyMTl2a0VpU1BfNEg2cDg?oc=5</t>
  </si>
  <si>
    <t>The sentiment is 'bearish' because a less dovish stance from the Fed, indicated by only one projected rate cut this year, may lead to a stronger US dollar, which would put downward pressure on crude oil prices.</t>
  </si>
  <si>
    <t>World faces â€˜staggeringâ€™ oil glut by end of decade, energy watchdog warns</t>
  </si>
  <si>
    <t>https://www.ft.com/content/cfb97534-b71b-490f-b626-6dc3487f595d</t>
  </si>
  <si>
    <t>The sentiment is 'bearish' because a massive oil glut is likely to put downward pressure on oil prices, as excess supply will outstrip demand, leading to a surplus of oil in the market.</t>
  </si>
  <si>
    <t>The World Will Be Swimming in Excess Oil by End of This Decade, IEA Says - WSJ</t>
  </si>
  <si>
    <t>https://news.google.com/rss/articles/CBMiswFBVV95cUxOcWkzcFZ0MjY5S3hnaExwUFhaR2dVb3BESkN6Rlp6NnZPWlRtXzZiQTZwbnRTWFhuMG5zWmZJck56VEpmeFNrRVFtakdmb0tQbllBeXR5YXc4UkEtaDU4MHBnQUd1Vjd5cVJlOXhPdUJSdUIteGpFd042ZDNzTUdkQjVHOWtmNU1VclRMQzRodXZoZFlHYlBraDZiZmF6dWJXTjB3ajBfNzdaSUlkb1RwNkVFVQ?oc=5</t>
  </si>
  <si>
    <t>The sentiment is 'bearish' because a surplus of oil in the market typically leads to downward pressure on oil prices, which would negatively impact the revenue and profitability of oil producers and related industries.</t>
  </si>
  <si>
    <t>Saudi crude oil exports to China to fall for 3rd straight month in July: Reports</t>
  </si>
  <si>
    <t>https://gulfbusiness.com/saudi-crude-oil-exports-china-fall-july-reports/</t>
  </si>
  <si>
    <t>The sentiment is 'bearish' because a decline in Saudi crude oil exports to China, the world's largest oil importer, suggests weaker demand and potentially oversupplied markets, which could put downward pressure on global oil prices.</t>
  </si>
  <si>
    <t>Oil Rises After Industry Report Points to Lower US Stockpiles</t>
  </si>
  <si>
    <t>https://www.bloomberg.com/news/articles/2024-06-11/latest-oil-market-news-and-analysis-for-june-12</t>
  </si>
  <si>
    <t>The sentiment is 'bullish' because a decrease in US stockpiles implies a tighter supply-demand balance, which typically supports higher oil prices and is seen as a positive development for the oil market.</t>
  </si>
  <si>
    <t>US crude dominates Dated Brent benchmark as shale exports boom</t>
  </si>
  <si>
    <t>https://www.reuters.com/markets/commodities/us-crude-dominates-dated-brent-benchmark-shale-exports-boom-2024-06-12/</t>
  </si>
  <si>
    <t>The sentiment is 'bullish' because a surge in shale exports boosting US crude's presence in the global market is a positive development for US oil producers and exporters, implying a potential increase in demand and prices.</t>
  </si>
  <si>
    <t>Oil settles higher on forecasts for strong demand</t>
  </si>
  <si>
    <t>https://www.reuters.com/business/energy/oil-prices-extend-rally-potential-us-crude-purchase-reserve-2024-06-11/</t>
  </si>
  <si>
    <t>The sentiment is 'bullish' because the headline implies that oil prices are rising due to expectations of robust demand, which suggests a positive outlook for oil consumption and thus supports higher prices.</t>
  </si>
  <si>
    <t>The UK is at risk of losing Europeâ€™s tech crown</t>
  </si>
  <si>
    <t>https://www.ft.com/content/b4d9f950-d0cb-4d6c-bf71-d0dece4e632a</t>
  </si>
  <si>
    <t>The sentiment is 'unrelated' because this headline is focused on the technology industry in Europe, whereas my expertise lies in the oil market, making it a completely separate and distinct domain with no direct connection or relevance.</t>
  </si>
  <si>
    <t>BMI Reveals Latest Brent Oil Price Forecasts</t>
  </si>
  <si>
    <t>https://www.rigzone.com/news/bmi_reveals_latest_brent_oil_price_forecasts-10-jun-2024-177032-article/</t>
  </si>
  <si>
    <t>The sentiment is 'unrelated' because the headline simply reports on BMI's latest forecasts without expressing a positive, negative, or neutral emotional tone, making it a factual and informative statement rather than an opinion-based one.</t>
  </si>
  <si>
    <t>Oil Trader Gunvor Snaps Up Benchmark Crude That Others Are Offloading</t>
  </si>
  <si>
    <t>https://www.bloomberg.com/news/articles/2024-06-10/gunvor-snaps-up-benchmark-crude-oil-that-others-are-offloading</t>
  </si>
  <si>
    <t>The sentiment is 'bullish' because Gunvor's purchase of benchmark crude suggests that the company sees value in the oil market and expects prices to rise, as they are going against the trend of others who are offloading their positions.</t>
  </si>
  <si>
    <t>Oil Gains as OPEC+ Ministers Reject Reaction to Output Increase</t>
  </si>
  <si>
    <t>https://www.bloomberg.com/news/articles/2024-06-05/latest-oil-market-news-and-analysis-for-june-6</t>
  </si>
  <si>
    <t>The sentiment is 'bullish' because the rejection of a reaction to an output increase by OPEC+ ministers likely implies that the cartel is comfortable with current price levels and will maintain production levels, which would support prices and reduce the risk of oversupply.</t>
  </si>
  <si>
    <t>Chinaâ€™s Imports of Iranian Oil Jump in May on Better Margins</t>
  </si>
  <si>
    <t>https://www.bloomberg.com/news/articles/2024-06-07/china-s-imports-of-iranian-oil-jump-in-may-on-better-margins</t>
  </si>
  <si>
    <t>The sentiment is 'bullish' because an increase in China's imports of Iranian oil suggests a resurgence in demand, which can lead to higher prices and a tighter market, benefiting oil producers and bullish market participants.</t>
  </si>
  <si>
    <t>The LA lawyer taking on one of Europeâ€™s biggest drugmakers</t>
  </si>
  <si>
    <t>https://www.ft.com/content/e99dbc4b-5539-491b-9c4e-6c7bc6367c4d</t>
  </si>
  <si>
    <t>The sentiment is 'unrelated' because the headline appears to be discussing a legal case involving a pharmaceutical company, which has no apparent connection to the oil market, making it an unrelated topic from an oil market analyst's perspective.</t>
  </si>
  <si>
    <t>Oil Algorithmic Traders Amplify Crude Price Rout After OPECâ€™s Surprise</t>
  </si>
  <si>
    <t>https://www.bloomberg.com/news/articles/2024-06-04/oil-algorithmic-traders-amplify-crude-price-rout-after-opec-s-surprise</t>
  </si>
  <si>
    <t>The sentiment is 'bearish' because the headline suggests that algorithmic traders are exacerbating the decline in oil prices, implying that the market is experiencing a downward trend, which is a characteristic of a bearish sentiment.</t>
  </si>
  <si>
    <t>Russia Cuts Oil Exports After Pledging Redress for Excess Output</t>
  </si>
  <si>
    <t>https://www.bloomberg.com/news/articles/2024-06-04/russia-cuts-oil-exports-after-pledging-redress-for-excess-output</t>
  </si>
  <si>
    <t>The sentiment is 'bullish' because by cutting oil exports, Russia is effectively reducing the global supply of oil, which could lead to a increase in oil prices, benefiting oil producers and supporting a bullish market outlook.</t>
  </si>
  <si>
    <t>Exclusive | OPEC+ Agrees to Extend Production Cuts in Bid to Boost Oil Prices</t>
  </si>
  <si>
    <t>https://www.wsj.com/business/energy-oil/opec-agrees-to-extend-production-cuts-in-bid-to-boost-oil-prices-7ef55454</t>
  </si>
  <si>
    <t>The sentiment is 'bullish' because the agreement to extend production cuts implies a reduction in global oil supply, which should lead to higher oil prices, benefiting oil producers and investors.</t>
  </si>
  <si>
    <t>OPEC+ Extends Cuts But Lays Out Plan to Bring Barrels Back</t>
  </si>
  <si>
    <t>https://www.bloomberg.com/news/articles/2024-06-02/opec-has-outline-deal-extending-key-oil-production-cuts</t>
  </si>
  <si>
    <t>The sentiment is 'bullish' because the extension of production cuts suggests a continued effort to balance the market and support prices, while the plan to bring barrels back implies a controlled return of supply, which could prevent a price crash and instead lead to a more stable and potentially higher price environment.</t>
  </si>
  <si>
    <t>Oil Swings After OPEC+ Signals Plan to Return Barrels to Market</t>
  </si>
  <si>
    <t>https://www.bloomberg.com/news/articles/2024-06-02/latest-oil-market-news-and-analysis-for-june-3</t>
  </si>
  <si>
    <t>The sentiment is 'bearish' because the return of barrels to the market implies an increase in oil supply, which could lead to downward pressure on prices, particularly if demand remains sluggish.</t>
  </si>
  <si>
    <t>Apple (AAPL) Turns Positive for 2024 After Addressing Key Bear Concerns</t>
  </si>
  <si>
    <t>https://www.bloomberg.com/news/articles/2024-06-03/apple-turns-positive-for-2024-after-addressing-key-bear-concerns</t>
  </si>
  <si>
    <t>The sentiment is 'unrelated' because the headline is specifically about Apple's stock performance and addressing bear concerns, which has no direct relevance to the oil market, making it an unrelated topic in the context of oil market analysis.</t>
  </si>
  <si>
    <t>Why Does Crude Oil Track Soybean Oil, Diesel?</t>
  </si>
  <si>
    <t>https://www.cmegroup.com/insights/economic-research/2024/why-does-crude-oil-track-soybean-oil-diesel.html</t>
  </si>
  <si>
    <t>The sentiment is 'neutral/uncertain' because the headline poses a question rather than making a statement, indicating that the author is exploring a correlation without taking a clear stance or making a definitive claim, which leaves the reader without a clear emotional tone or directional bias.</t>
  </si>
  <si>
    <t>Oil Steadies as Risk-Off Mood Offsets Middle East Tensions</t>
  </si>
  <si>
    <t>https://www.bloomberg.com/news/articles/2024-05-29/latest-oil-market-news-and-analysis-for-may-30</t>
  </si>
  <si>
    <t>The sentiment is 'unrelated' because the headline is simply reporting on the current state of the oil market, balancing two opposing factors (risk-off mood and Middle East tensions) without expressing a positive, negative, or neutral emotion, thus lacking a sentiment that can be classified as positive, negative, or neutral.</t>
  </si>
  <si>
    <t>Oil Floats on Tankers in the North Sea on Weak Demand Signals</t>
  </si>
  <si>
    <t>https://www.bloomberg.com/news/articles/2024-05-28/oil-floats-on-tankers-in-the-north-sea-on-weak-demand-signals</t>
  </si>
  <si>
    <t>The sentiment is 'bearish' because the headline suggests that oil is being stored in tankers in the North Sea due to weak demand signals, implying a supply glut and downward pressure on oil prices.</t>
  </si>
  <si>
    <t>Oil Floats on Tankers in the North Sea on Weak Demand Signals - Bloomberg.com</t>
  </si>
  <si>
    <t>https://news.google.com/rss/articles/CBMisgFBVV95cUxOWTBnTGtrTVFjWDE3dkRqNEVMaDFfek1CeFpPbHVIUUZMUUh4OWxUUDhMT3V0NHZ2UXB3Q0JNdkFjeHJTX3hJS19Ed3F6ZWx2TXo1TkNXRThUSmhKd1FCRnVMRTRRTEpfSUdDUlpIOVFCdE5tWjhTUEFDdnd3d1ZGTThySFhacWd0VFJzNUhiby1UNlFPMlplY0wtX0s2X0psWW4tLUtVNTM0SmdzYmYtRmFR?oc=5</t>
  </si>
  <si>
    <t>The sentiment is 'bearish' because the headline suggests that there is a surplus of oil, as indicated by tankers floating in the North Sea, which implies weaker demand and potentially lower prices.</t>
  </si>
  <si>
    <t>Canadian Rate Cuts Will Take Months to Help Consumers, Scotiabank Says</t>
  </si>
  <si>
    <t>https://www.bloomberg.com/news/articles/2024-05-28/rate-cuts-will-take-months-to-help-consumers-scotiabank-says</t>
  </si>
  <si>
    <t>The sentiment is 'bearish' because the headline suggests that any potential benefits from Canadian rate cuts will be delayed, implying that consumers will continue to face economic headwinds in the short term, which could negatively impact consumer spending and overall economic growth.</t>
  </si>
  <si>
    <t>If you build it, will they come? The Â£8bn regeneration of Brent Cross</t>
  </si>
  <si>
    <t>https://www.ft.com/content/4eff8457-c95d-4ba0-8752-5c968cc3299a</t>
  </si>
  <si>
    <t>The sentiment is 'unrelated' because the headline is discussing a real estate development project in Brent Cross, which has no apparent connection to the oil market, making it an unrelated topic in the context of oil market analysis.</t>
  </si>
  <si>
    <t>Oil posts weekly loss as interest rate policy spurs fuel demand worries</t>
  </si>
  <si>
    <t>https://www.reuters.com/business/energy/oil-flat-firming-us-gasoline-demand-offsets-rate-jitters-2024-05-24/</t>
  </si>
  <si>
    <t>The sentiment is 'bearish' because the headline suggests that interest rate policy is negatively impacting fuel demand, which is a key driver of oil prices, implying a downward pressure on oil prices.</t>
  </si>
  <si>
    <t>Norwayâ€™s Oil Fund to Vote Against Exxon Mobil Amid Shareholder Rights Concern - WSJ</t>
  </si>
  <si>
    <t>https://news.google.com/rss/articles/CBMiwwFBVV95cUxQQlh1SGtIbzBZaFFoU2YyMEQyTEE4RDlxblo0QkJnVHhCQXlyRDVZZWVGbVFreWFvSTN3TlFPc3ZiTUNLbVpvLUhIcnlfLWtVRGdMdVZsM21pVm1KMDJ1aG96X0tKY3V3bmhLNkhWUXdXVTZIa2RmaHUwTXBDSDFyV2xkT19jaGtKb3BJZEJ0NEUtZHU0eDFyNVF0Y2xUMlJCZ0FqVXRtWGlVTDI3QTYzYzBlWlJ4aEZNRTd1LUFoeGNOVUU?oc=5</t>
  </si>
  <si>
    <t>The sentiment is 'bearish' because Norway's Oil Fund, one of the largest sovereign wealth funds in the world, voting against Exxon Mobil amid shareholder rights concerns could lead to a loss of investor confidence and potentially impact Exxon Mobil's stock performance.</t>
  </si>
  <si>
    <t>Oil Declines as Industry Report Points to Swelling US Stockpiles</t>
  </si>
  <si>
    <t>https://www.bloomberg.com/news/articles/2024-05-21/latest-oil-market-news-and-analysis-for-may-22</t>
  </si>
  <si>
    <t>The sentiment is 'bearish' because an increase in US stockpiles, as indicated by the industry report, suggests a surplus of oil in the market, which would put downward pressure on prices, thus justifying a bearish sentiment.</t>
  </si>
  <si>
    <t>Oil slips for a third straight day on prospect of US rates staying high</t>
  </si>
  <si>
    <t>https://www.reuters.com/business/energy/oil-slips-third-session-likely-higher-longer-us-rates-2024-05-22/</t>
  </si>
  <si>
    <t>The sentiment is 'bearish' because the prospect of high US interest rates reduces the attractiveness of investing in oil and other commodities, leading to a decrease in demand and subsequently, a drop in oil prices.</t>
  </si>
  <si>
    <t>Brent oil market structure weakens as tightness concern eases</t>
  </si>
  <si>
    <t>https://www.reuters.com/markets/commodities/brent-oil-market-structure-weakens-tightness-concern-eases-2024-05-21/</t>
  </si>
  <si>
    <t>The sentiment is 'bearish' because the easing of tightness concerns implies a reduction in upward pressure on oil prices, which could lead to a decline or stabilization of prices, resulting in a negative outlook for the market.</t>
  </si>
  <si>
    <t>Oil Dips as Geopolitical Tension Fails to Jolt Lackluster Market</t>
  </si>
  <si>
    <t>https://www.bloomberg.com/news/articles/2024-05-20/latest-oil-market-news-and-analysis-for-may-21</t>
  </si>
  <si>
    <t>The sentiment is 'bearish' because the headline suggests that despite heightened geopolitical tensions, which would normally boost oil prices, the market remains lackluster, implying that demand is weak and prices are likely to fall or remain stagnant.</t>
  </si>
  <si>
    <t>Oil Holds Steady as Strong US Data Helps Cushion China Weakness</t>
  </si>
  <si>
    <t>https://www.bloomberg.com/news/articles/2023-05-16/crude-oil-prices-edge-higher-with-us-seeking-crude-for-strategic-reserves</t>
  </si>
  <si>
    <t>The sentiment is 'unrelated' because the headline is presenting a neutral/mixed picture, where strong US data is offset by China weakness, resulting in a steady oil price, which doesn't convey a clear positive or negative sentiment.</t>
  </si>
  <si>
    <t>Low oil prices canâ€™t stop the crude tanker boom</t>
  </si>
  <si>
    <t>https://www.ft.com/content/ba1b15e4-c1b3-4abd-adb8-c5c673a2d335</t>
  </si>
  <si>
    <t>The sentiment is 'bullish' because the headline suggests that despite low oil prices, which are often seen as a bearish indicator for the oil industry, the crude tanker market is still experiencing a boom, implying that demand for tanker services remains strong.</t>
  </si>
  <si>
    <t>New Bloomberg Study Warns of $150 Oil</t>
  </si>
  <si>
    <t>https://www.rigzone.com/news/new_bloomberg_study_warns_of_150_oil-14-may-2024-176732-article/</t>
  </si>
  <si>
    <t>The sentiment is 'bullish' because a warning of $150 oil suggests a potential significant price increase, which would be beneficial for oil producers, refiners, and investors, implying a positive outlook on the oil market.</t>
  </si>
  <si>
    <t>Oil prices settle up on demand optimism, US inflation in focus</t>
  </si>
  <si>
    <t>https://www.reuters.com/markets/commodities/oil-extends-decline-signs-weak-fuel-demand-strong-dollar-2024-05-13/</t>
  </si>
  <si>
    <t>The sentiment is 'bullish' because the phrase "demand optimism" suggests that market participants expect increasing demand for oil, which would lead to higher prices, and the mention of US inflation being "in focus" implies that the market is anticipating a potential boost to oil prices from a stronger economy.</t>
  </si>
  <si>
    <t>Unearthed diary reveals gruesome final moments of acclaimed NYC art dealer assassinated in Rio holiday home 'a</t>
  </si>
  <si>
    <t>https://www.dailymail.co.uk/news/article-13408439/Unearthed-diary-reveals-gruesome-final-moments-acclaimed-NYC-art-dealer-assassinated-Rio-holiday-home-greedy-husband-took-hit-thinking-hed-richer-widower-divorcee.html</t>
  </si>
  <si>
    <t>The sentiment is 'unrelated' because this headline appears to be a news article about a crime and a person's death, which has no apparent connection to the oil market or any related economic or financial topics that an oil market analyst would typically follow.</t>
  </si>
  <si>
    <t>Oil falls on prospect of higher-for-longer US rates, stronger dollar</t>
  </si>
  <si>
    <t>https://www.reuters.com/business/energy/oil-prices-up-stronger-chinese-data-middle-east-conflict-2024-05-10/</t>
  </si>
  <si>
    <t>The sentiment is 'bearish' because the prospect of higher-for-longer US interest rates and a stronger dollar typically lead to a decrease in oil prices, as a stronger dollar makes oil more expensive for holders of other currencies, and higher interest rates tend to reduce economic growth and therefore oil demand.</t>
  </si>
  <si>
    <t>Russian Crude Flows Top 2023 Levels With Refineries Constrained</t>
  </si>
  <si>
    <t>https://www.bloomberg.com/news/articles/2024-05-07/russia-seaborne-oil-exports-exceed-2023-levels-on-refinery-attacks</t>
  </si>
  <si>
    <t>The sentiment is 'bullish' because the increased crude oil flows suggest a surplus of supply, which could lead to lower prices, benefiting refiners and consumers, and potentially boosting refining margins and demand.</t>
  </si>
  <si>
    <t>Oil Set for Biggest Weekly Drop Since February as War Risk Fades</t>
  </si>
  <si>
    <t>https://www.bloomberg.com/news/articles/2024-05-02/latest-oil-market-news-and-analysis-for-may-3</t>
  </si>
  <si>
    <t>The sentiment is 'bearish' because the headline suggests that the risk of war, which is often a bullish catalyst for oil prices, is fading, implying that prices are likely to continue falling, resulting in the biggest weekly drop since February.</t>
  </si>
  <si>
    <t>Oil settles near 7-week lows, focus shifts to economy - Reuters</t>
  </si>
  <si>
    <t>https://news.google.com/rss/articles/CBMiswFBVV95cUxQQzlmZnJ3RWNITTRtd2ttZmtTUldNOVpkTnVaYngxZ0l3MVhUNE9PSmkyMjBZNTlSTGZ1ZU9ZT2RETWJaQll1RjVjdXdrMG9CeHFPcDM4YjdMbl83Z3pBR3JuaWQ4UENuMjVpZWRBckVtQ2Z2dVQ1djlLT25NWkxtTlJxRVlUc0NkclkxOGNfcXdLNks3azdENkpNQ1lyRHVXVEdUS2dmS0UxdTJuNmhKV3d2WQ?oc=5</t>
  </si>
  <si>
    <t>The sentiment is 'bearish' because the headline explicitly states that oil prices have settled near 7-week lows, implying a downward trend in oil prices, which is typically associated with bearish market sentiment.</t>
  </si>
  <si>
    <t>Dated Brent, Worldâ€™s Most Important Oil Price, Transformed by Adding US Crude</t>
  </si>
  <si>
    <t>https://www.bloomberg.com/news/articles/2024-05-03/world-s-most-important-oil-price-transformed-by-adding-us-crude</t>
  </si>
  <si>
    <t>The sentiment is 'bullish' because the inclusion of US crude in the Dated Brent oil price benchmark is seen as a positive development that increases the benchmark's representativeness and relevance, which could boost confidence in the oil market and support prices.</t>
  </si>
  <si>
    <t>India's Reliance starts trading US oil setting Brent oil benchmark</t>
  </si>
  <si>
    <t>https://www.reuters.com/world/india/indias-reliance-starts-trading-us-oil-setting-brent-oil-benchmark-2024-05-02/</t>
  </si>
  <si>
    <t>The sentiment is 'bullish' because Reliance's entry into trading US oil sets a new benchmark, potentially increasing demand and prices, which could lead to a surge in oil prices, benefiting oil producers and stakeholders.</t>
  </si>
  <si>
    <t>Can you afford to retire early?</t>
  </si>
  <si>
    <t>https://www.ft.com/content/e537b9f8-078e-4fbf-b16a-e6580ea3f9d3</t>
  </si>
  <si>
    <t>The sentiment is 'unrelated' because as an oil market analyst, my expertise lies in analyzing and forecasting oil market trends, and retirement planning is outside the realm of my professional expertise, having no direct connection to the oil industry.</t>
  </si>
  <si>
    <t>Indiaâ€™s Top Refiner Resumes Russia Oil Trade on Sovcomflot Ships</t>
  </si>
  <si>
    <t>https://www.bloomberg.com/news/articles/2024-05-02/india-s-top-refiner-resumes-russia-oil-trade-on-sovcomflot-ships</t>
  </si>
  <si>
    <t>The sentiment is 'bullish' because the resumption of Russian oil trade on Sovcomflot ships by India's top refiner suggests a potential increase in oil imports, which could boost demand and support oil prices.</t>
  </si>
  <si>
    <t>The ongoing bird flu outbreak in the United States</t>
  </si>
  <si>
    <t>https://www.reuters.com/world/us/us-bird-flu-outbreak-spreads-chickens-cattle-raises-concerns-over-human-2024-05-01/</t>
  </si>
  <si>
    <t>The sentiment is 'unrelated' because the bird flu outbreak in the United States has no direct impact on the global oil market or prices, as it is an animal health issue and not an event that affects oil supply, demand, or logistics.</t>
  </si>
  <si>
    <t>Ex-Pioneer CEO Barred From Exxon Board for Megadeal to Close - WSJ</t>
  </si>
  <si>
    <t>https://news.google.com/rss/articles/CBMiywFBVV95cUxQMFVRbXlwS3BmNHc4R1pCcGt3bXAtaFBDemYtcDMwV2YybTE3cUhvWHdHM0c4cWlHN2JlTnBDXzhtdWwzTnZRMWgwMnl1RmMtZUdmOHd0eG9sUFhIRDg3MnlQaXkySmxZZk1Pak82MDRtTHlncFd0OVRTMW1PMkNHbzdESTRtWEFubWVjQ2pXcVpDRGJhcEZvSGVLbnlaUHpnMFpXZjRMelU5NXFmU0FYd2Z2ZTQ3UXlmcXpMc3VGZDY2ai1tTjlLOEZtOA?oc=5</t>
  </si>
  <si>
    <t>The sentiment is 'unrelated' because the headline appears to be discussing a corporate governance issue related to Exxon's board, which has no direct bearing on the current oil market fundamentals or price dynamics.</t>
  </si>
  <si>
    <t>Oil Extends Drop on Mideast Cease-Fire Prospects, US Inflation</t>
  </si>
  <si>
    <t>https://www.bloomberg.com/news/articles/2024-04-30/latest-oil-market-news-and-analysis-for-may-1</t>
  </si>
  <si>
    <t>The sentiment is 'bearish' because the prospect of a Middle East cease-fire would reduce geopolitical tensions, leading to lower oil prices, and the concern over US inflation suggests a potential slowdown in economic growth, which would also weigh on oil demand and prices.</t>
  </si>
  <si>
    <t>Oil price forecasts raised as supply risks persist - Reuters</t>
  </si>
  <si>
    <t>https://news.google.com/rss/articles/CBMipgFBVV95cUxPNnpTRGRRS0tickY5RU5zRVRnN3RKTmJueFZoN2lxYktBQ0Fkcm5KOUFyal96TUtHVi1uVEx2Z2xNZzBibWlrZjJrRmNwZkdyTGx3emhldVpuYTVRU0Y0ZzlvLWVZc0ZCU3ZRNmljSU5jODF5clpCZDR0a1ExVGtVYVdkMjNsTFA0cEE4X3ZKT1NrcGZsalBESTRZc0stWUJVZktYMUdB?oc=5</t>
  </si>
  <si>
    <t>The sentiment is 'bullish' because the headline suggests that oil price forecasts are being raised, implying that prices are expected to increase, which is typically a positive outlook for oil producers and investors.</t>
  </si>
  <si>
    <t>Oil falls more than $1/bbl on Middle East peace talks, US rate cut doubts</t>
  </si>
  <si>
    <t>https://www.reuters.com/markets/commodities/oil-prices-pare-gains-us-inflation-concerns-2024-04-29/</t>
  </si>
  <si>
    <t>The sentiment is 'bearish' because the combination of Middle East peace talks, which could potentially reduce geopolitical tensions and lead to increased oil supply, and doubts over a US rate cut, which could reduce demand for oil, would likely weigh on oil prices and lead to a downward movement in the market.</t>
  </si>
  <si>
    <t>How Big Data Centers Are Slowing the Shift to Clean Energy - WSJ</t>
  </si>
  <si>
    <t>https://news.google.com/rss/articles/CBMiqwFBVV95cUxNM3lnaDRZVk9YX3pydk1tVzlBX29MUGdjSkRZMTZJWnBFOGpPdWVtRklRcjVhVU5pcWNqMFdVenBwc1VyMThDNmhBVHhPenkyWlFEOFNaYkVPYV9uaXliYVFNemlZbGlKSG5PSlRmUGJEQXQyT0s3MXhiQjdITHdRSWNXN1VTaVN5RnlGa2x5X3Btc3kwWTJBcV9oVnJTem9tUzBucjJvRm5xTnM?oc=5</t>
  </si>
  <si>
    <t>The sentiment is 'bearish' because the headline suggests that the growth of big data centers is hindering the transition to clean energy, implying that the increased demand for fossil fuels to power these centers will slow the pace of the energy transition, which is a negative outlook for the clean energy sector.</t>
  </si>
  <si>
    <t>Commodities Are a â€˜Win-Winâ€™ With $100 Crude Oil in Sight, Carlyleâ€™s Currie Says</t>
  </si>
  <si>
    <t>https://www.bloomberg.com/news/articles/2024-04-23/commodities-are-a-win-win-with-100-crude-oil-in-sight-carlyle-s-currie-says</t>
  </si>
  <si>
    <t>The sentiment is 'bullish' because the headline quotes an expert predicting a significant price increase to $100 per barrel, implying a strong upward trend in the commodities market.</t>
  </si>
  <si>
    <t>Oil futures fall as fears of a wider Middle East war fade</t>
  </si>
  <si>
    <t>https://www.reuters.com/markets/commodities/oil-prices-retreat-us-crude-build-rate-cut-concerns-come-fore-2024-04-22/</t>
  </si>
  <si>
    <t>The sentiment is 'bearish' because a decrease in oil futures prices implies a reduction in investor concerns about a potential supply disruption, which is a bullish factor for oil prices, thereby indicating a negative outlook on the market.</t>
  </si>
  <si>
    <t>Oil settles slightly higher as Iran plays down reported Israeli attack</t>
  </si>
  <si>
    <t>https://www.reuters.com/business/energy/oil-prices-ease-prospect-persistently-high-us-interest-rates-2024-04-19/</t>
  </si>
  <si>
    <t>The sentiment is 'unrelated' because the headline suggests that the oil market's slight upward movement is influenced by Iran's reaction to a reported Israeli attack, implying a connection between geopolitical events and oil prices, rather than a neutral or unrelated factor.</t>
  </si>
  <si>
    <t>Oil Pares Advance After Iranian Media Downplays Israelâ€™s Attacks</t>
  </si>
  <si>
    <t>https://www.bloomberg.com/news/articles/2024-04-18/latest-oil-market-news-and-analysis-for-april-19</t>
  </si>
  <si>
    <t>The sentiment is 'bearish' because the downplaying of Israel's attacks by Iranian media reduces the perceived risk of a supply disruption, which could lead to a decrease in oil prices.</t>
  </si>
  <si>
    <t>Nigeriaâ€™s Dangote Oil Refinery Ramps Up Production With US Crude</t>
  </si>
  <si>
    <t>https://www.bloomberg.com/news/articles/2024-04-18/nigeria-s-dangote-oil-refinery-ramps-up-production-with-us-crude</t>
  </si>
  <si>
    <t>The sentiment is 'bullish' because the increased production at the Dangote Oil Refinery, fueled by US crude, suggests a potential increase in refined product supply, which could lead to improved market dynamics and higher revenues for the refinery, thereby supporting a positive outlook for the industry.</t>
  </si>
  <si>
    <t>Saudi Arabia Needs Oil Price Near $100, IMF Says</t>
  </si>
  <si>
    <t>https://www.bloomberg.com/news/articles/2024-04-18/saudi-arabia-needs-oil-price-near-100-amid-opec-cuts-imf-says</t>
  </si>
  <si>
    <t>The sentiment is 'bullish' because a higher oil price near $100 would likely benefit Saudi Arabia's economy, as it would increase the country's oil revenue and GDP, which could have a positive impact on the country's financial stability and growth prospects.</t>
  </si>
  <si>
    <t>Oil holds near 3-week low as US sanctions interrupt easing tensions</t>
  </si>
  <si>
    <t>https://www.reuters.com/business/energy/oil-inches-up-after-us-reimposes-venezuela-oil-sanctions-2024-04-18/</t>
  </si>
  <si>
    <t>The sentiment is 'bearish' because the headline suggests that the easing of tensions, which would typically be a positive factor for oil prices, is being offset by the negative impact of US sanctions, implying that the downward pressure on prices remains.</t>
  </si>
  <si>
    <t>Oil Holds Sharp Drop After US Stockpiles Expand to 10-Month High</t>
  </si>
  <si>
    <t>https://www.bloomberg.com/news/articles/2024-04-17/latest-oil-market-news-and-analysis-for-april-18</t>
  </si>
  <si>
    <t>The sentiment is 'bearish' because the unexpected build in US stockpiles to a 10-month high suggests a supply glut, which would put downward pressure on oil prices, leading to a negative outlook for the market.</t>
  </si>
  <si>
    <t>Oil Poses More Risks for Yen (JPY USD) as Japan Depends on Energy Imports</t>
  </si>
  <si>
    <t>https://www.bloomberg.com/news/articles/2024-04-19/oil-poses-more-risks-for-yen-as-japan-depends-on-energy-imports</t>
  </si>
  <si>
    <t>The sentiment is 'bearish' because Japan's reliance on energy imports makes it vulnerable to rising oil prices, which could lead to a weaker yen as the country's trade deficit widens and investor confidence is eroded.</t>
  </si>
  <si>
    <t>Hedge Funds Sell Off Winning Energy Stocks to Buy Soaring Oil</t>
  </si>
  <si>
    <t>https://www.bloomberg.com/news/articles/2024-04-17/hedge-funds-sell-off-winning-energy-stocks-to-buy-soaring-oil</t>
  </si>
  <si>
    <t>The sentiment is 'bullish' because the headline suggests that hedge funds are rotating out of already successful energy stocks, potentially due to valuations, and into oil, implying a strong expectation for further price appreciation in the commodity.</t>
  </si>
  <si>
    <t>Iran oil exports hit 6-year high as west prepares sanctions</t>
  </si>
  <si>
    <t>https://www.ft.com/content/00bb5653-e9aa-4af1-8f9e-705137947b32</t>
  </si>
  <si>
    <t>The sentiment is 'bearish' because the headline suggests that Iran's increased oil exports may be a short-lived phenomenon as Western sanctions are looming, which could ultimately disrupt and reduce Iranian oil shipments, putting downward pressure on prices.</t>
  </si>
  <si>
    <t>Oil Falls as Traders Await Israelâ€™s Response to Iran Attack</t>
  </si>
  <si>
    <t>https://www.bloomberg.com/news/articles/2024-04-14/latest-oil-market-news-and-analysis-for-april-15</t>
  </si>
  <si>
    <t>The sentiment is 'bearish' because the headline implies that the market is expecting a potential escalation of the conflict between Israel and Iran, which could lead to supply disruptions and further geopolitical tensions, causing oil prices to decline.</t>
  </si>
  <si>
    <t>Decoding Oil's Perplexing Reaction to Iran's Attack on Israel</t>
  </si>
  <si>
    <t>https://www.bloomberg.com/news/newsletters/2024-04-15/iran-s-attack-on-israel-neom-ambitions-scaled-down-saudi-arabia-uae-ai-race</t>
  </si>
  <si>
    <t>The sentiment is not 'unrelated' because the attack on Israel by Iran could potentially disrupt oil supplies or create uncertainty in the global oil market, which would suggest that there is a relevant connection between the event and the oil market.</t>
  </si>
  <si>
    <t>Oil Traders Weigh Risks of Iran-Israel Conflict in Tight Market</t>
  </si>
  <si>
    <t>https://www.bloomberg.com/news/articles/2024-04-14/oil-prices-iran-israel-conflict-adds-risks-in-tight-market</t>
  </si>
  <si>
    <t>The sentiment is not 'bullish' because the headline suggests that oil traders are concerned about a potential conflict, which would likely disrupt oil supplies and drive prices higher, implying a bearish outlook.</t>
  </si>
  <si>
    <t>Oil Prices Surge on Fears of an Imminent Iranian Attack</t>
  </si>
  <si>
    <t>https://oilprice.com/Geopolitics/Middle-East/Oil-Prices-Surge-on-Fears-of-an-Imminent-Iranian-Attack.html</t>
  </si>
  <si>
    <t>The sentiment is 'bullish' because the headline suggests a potential supply disruption from a major oil producer, which would lead to a shortage in the global market and drive up prices, benefiting oil producers and stakeholders.</t>
  </si>
  <si>
    <t>U.S. crude oil gains as Israel reportedly prepares for attack by Iran this weekend</t>
  </si>
  <si>
    <t>https://www.cnbc.com/2024/04/12/crude-oil-prices-today.html</t>
  </si>
  <si>
    <t>The sentiment is 'bullish' because the prospect of a potential conflict in the Middle East, a major oil-producing region, increases the risk of supply disruptions, which would likely drive up oil prices.</t>
  </si>
  <si>
    <t>Energy-Guzzling AI Is Also the Future of Energy Savings - WSJ</t>
  </si>
  <si>
    <t>https://news.google.com/rss/articles/CBMihgFBVV95cUxNXzN0c1lCUFRiRzJYd3A4Mm03LTRzQTFxODZkNUVIWDg0VXFKZmJIWVdKYURGOEp6ZS1CV3Zzdzg3OXY1UFhlUHBVb2RkdHFnQVhYcUJQOG5IOVNkY09vek5GVTdsLUFkVko1eEdGQVFFZnR3TjlkWF9pZmJPUWFlWElpWGE5Zw?oc=5</t>
  </si>
  <si>
    <t>The sentiment is 'unrelated' because the headline appears to be discussing the irony that AI, which is often associated with high energy consumption, could also be a key factor in reducing energy consumption, which is not directly related to the oil market.</t>
  </si>
  <si>
    <t>Oil Rises to October High as Israel Prepares for Iranian Attack</t>
  </si>
  <si>
    <t>https://www.bloomberg.com/news/articles/2024-04-12/oil-shoots-to-6-month-high-as-middle-east-conflict-escalates</t>
  </si>
  <si>
    <t>The sentiment is 'bullish' because the headline suggests that geopolitical tensions are rising, which often leads to increased oil prices as markets factor in potential supply disruptions and increased demand for crude.</t>
  </si>
  <si>
    <t>Oil settles lower as rate cut hopes moderate, Brent holds near $90/bbl</t>
  </si>
  <si>
    <t>https://www.reuters.com/markets/commodities/oil-consolidates-gains-amid-concerns-worsening-middle-east-crisis-2024-04-11/</t>
  </si>
  <si>
    <t>The sentiment is 'bearish' because the headline indicates that the expectation of a rate cut, which would typically boost oil prices, is moderating, implying that the upward pressure on prices is easing, leading to a settlement lower than expected.</t>
  </si>
  <si>
    <t>Bird flu pushes US dairy farmers to ban visitors, chop trees</t>
  </si>
  <si>
    <t>https://www.reuters.com/business/healthcare-pharmaceuticals/bird-flu-pushes-us-dairy-farmers-ban-visitors-chop-trees-2024-04-11/</t>
  </si>
  <si>
    <t>The sentiment is 'unrelated' because the headline appears to be discussing the impact of bird flu on dairy farmers and their practices, which has no apparent connection to the oil market.</t>
  </si>
  <si>
    <t>Morgan Stanley lifts Q3 Brent crude oil forecast on geopolitical risk</t>
  </si>
  <si>
    <t>https://www.reuters.com/business/energy/morgan-stanley-lifts-q3-brent-crude-oil-forecast-geopolitical-risk-2024-04-09/</t>
  </si>
  <si>
    <t>The sentiment is 'bullish' because the headline suggests that Morgan Stanley's forecast revision is driven by geopolitical risk, implying that the bank expects oil prices to rise due to increased uncertainty and potential supply disruptions, which is a positive outlook for oil prices.</t>
  </si>
  <si>
    <t>Australia Seeks to Speed Up Mergers in Bid to Boost Competition</t>
  </si>
  <si>
    <t>https://www.bloomberg.com/news/articles/2024-04-09/australia-seeks-to-speed-up-mergers-in-bid-to-boost-competition</t>
  </si>
  <si>
    <t>The sentiment is 'unrelated' because the headline is discussing merger regulation in the context of boosting competition in the Australian market, which has no direct or obvious connection to the oil market, making it an unrelated news item from an oil market analyst's perspective.</t>
  </si>
  <si>
    <t>Oil prices settle lower again, eyes on talks for Gaza ceasefire</t>
  </si>
  <si>
    <t>https://www.reuters.com/markets/commodities/oil-prices-turn-higher-middle-east-ceasefire-hopes-wane-2024-04-09/</t>
  </si>
  <si>
    <t>The sentiment is 'bearish' because the headline suggests that oil prices are declining, which is a bearish indicator, and the mention of a potential Gaza ceasefire talks may lead to reduced geopolitical tensions that could further pressure prices downward.</t>
  </si>
  <si>
    <t>Rising Oil Prices Reignite Inflation Fears (Published 2024)</t>
  </si>
  <si>
    <t>https://www.nytimes.com/2024/04/05/business/dealbook/oil-prices-inflation.html</t>
  </si>
  <si>
    <t>The sentiment is not 'bullish' because rising oil prices are typically associated with increased production costs, higher inflation, and slower economic growth, which would likely have a negative impact on the overall economy and oil demand, rather than being a positive or bullish indicator.</t>
  </si>
  <si>
    <t>Oil Rises Further as Middle East Tensions Push Brent Above $90</t>
  </si>
  <si>
    <t>https://www.bloomberg.com/news/articles/2024-04-04/latest-oil-market-news-and-analysis-for-april-5</t>
  </si>
  <si>
    <t>The sentiment is 'bullish' because the headline indicates that oil prices are rising, specifically breaking above the $90 mark, which suggests a positive outlook for oil prices driven by heightened Middle East tensions.</t>
  </si>
  <si>
    <t>Brent settles above $90 for first time since October on geopolitical tension</t>
  </si>
  <si>
    <t>https://www.reuters.com/markets/commodities/oil-prices-rise-concerns-lower-supply-signs-us-economic-growth-2024-04-04/</t>
  </si>
  <si>
    <t>The sentiment is 'bullish' because the headline implies that the price of Brent crude oil has broken through a significant psychological barrier of $90 per barrel, driven by geopolitical tensions, which suggests that market participants are pricing in a higher risk premium, leading to a upward pressure on prices.</t>
  </si>
  <si>
    <t>Oil Is Hitting Its Highest Level in Monthsâ€”Just in Time for Summer Driving Season - WSJ</t>
  </si>
  <si>
    <t>https://www.wsj.com/business/energy-oil/oil-is-hitting-its-highest-level-in-monthsjust-in-time-for-summer-driving-season-3370fbf7</t>
  </si>
  <si>
    <t>The sentiment is 'bullish' because the headline suggests that oil prices are rising to their highest level in months, which implies a strong demand for oil products, particularly during the summer driving season, a period of traditionally high consumption.</t>
  </si>
  <si>
    <t>Oilâ€™s Rally Through Key Option Levels Sets Stage for More Gains</t>
  </si>
  <si>
    <t>https://www.bloomberg.com/news/articles/2024-04-04/bullish-oil-options-now-in-the-money-set-stage-for-further-rally</t>
  </si>
  <si>
    <t>The sentiment is 'bullish' because the headline suggests that the oil price has broken through key option levels, which is often a technical indicator of a strong upward trend, implying that further price increases are likely.</t>
  </si>
  <si>
    <t>Fired CEO, Rebel Investor and M&amp;A Talks Fuel Battle Over Gildanâ€™s Future</t>
  </si>
  <si>
    <t>https://www.bloomberg.com/news/articles/2024-04-04/a-fired-ceo-rebel-investor-and-m-a-talk-fuel-battle-over-gildan-s-future</t>
  </si>
  <si>
    <t>The sentiment is 'unrelated' because the headline appears to be discussing a battle over the future of Gildan, a clothing company, which has no apparent connection to the oil market, making it unrelated to my area of expertise.</t>
  </si>
  <si>
    <t>Oil Advances After OPEC+ Affirms Production Cuts Through June</t>
  </si>
  <si>
    <t>https://www.bloomberg.com/news/articles/2024-04-03/latest-oil-market-news-and-analysis-for-april-4</t>
  </si>
  <si>
    <t>The sentiment is 'bullish' because the affirmation of production cuts through June by OPEC+ is likely to reduce global oil supply and support higher prices, which is a positive development for oil producers and investors.</t>
  </si>
  <si>
    <t>Oil settles at 5-month high, gains capped by jump in US crude stocks</t>
  </si>
  <si>
    <t>https://www.reuters.com/markets/commodities/oil-gains-market-buffeted-by-supply-worries-2024-04-03/</t>
  </si>
  <si>
    <t>The sentiment is 'unrelated' because the headline presents a mixed picture, with oil prices reaching a 5-month high on the one hand, but being capped by a jump in US crude stocks on the other, making it difficult to discern a clear positive or negative sentiment.</t>
  </si>
  <si>
    <t>OPEC Oil Output Stays Steady as Groupâ€™s Latest Cutbacks Stall</t>
  </si>
  <si>
    <t>https://www.bloomberg.com/news/articles/2024-04-02/opec-oil-output-stays-steady-as-group-s-latest-cutbacks-stall</t>
  </si>
  <si>
    <t>The sentiment is 'bearish' because the stagnation of OPEC's oil output, despite recent cutbacks, suggests that the cartel's efforts to balance the market and support prices are not having the desired effect, potentially leading to further downward pressure on prices.</t>
  </si>
  <si>
    <t>Veeva Systems Stock Falls 7% After Finance Chief Steps Down</t>
  </si>
  <si>
    <t>https://www.wsj.com/articles/veeva-systems-stock-falls-7-after-finance-chief-steps-down-a6ebe42f</t>
  </si>
  <si>
    <t>The sentiment is 'unrelated' because the headline appears to be discussing a specific event related to Veeva Systems, a cloud-based software company, which has no apparent connection to the oil market, making it irrelevant to oil market analysis.</t>
  </si>
  <si>
    <t>Oil settles up on supply threats, hits 2024 highs during session</t>
  </si>
  <si>
    <t>https://www.reuters.com/markets/commodities/oil-gains-upbeat-manufacturing-data-escalating-middle-east-tensions-2024-04-02/</t>
  </si>
  <si>
    <t>The sentiment is 'bullish' because the phrase "hits 2024 highs" implies that oil prices have reached a new peak for the year, indicating a strong upward trend driven by supply concerns.</t>
  </si>
  <si>
    <t>Russiaâ€™s Seaborne Crude Exports Surge to the Highest This Year</t>
  </si>
  <si>
    <t>https://www.bloomberg.com/news/articles/2024-04-02/russia-s-oil-exports-surge-to-their-highest-for-the-year-so-far</t>
  </si>
  <si>
    <t>The sentiment is not 'bearish' because an increase in Russia's seaborne crude exports actually implies a rise in global supply, which could put downward pressure on oil prices, making it a bullish signal for consumers and a bearish signal for oil producers.</t>
  </si>
  <si>
    <t>Oil up 1%, US WTI at 5-month closing high, market seen tight</t>
  </si>
  <si>
    <t>https://www.reuters.com/markets/commodities/oil-holds-onto-gains-investors-bet-tighter-supply-2024-04-01/</t>
  </si>
  <si>
    <t>The sentiment is 'bullish' because the headline indicates a 1% increase in oil prices, with the US WTI reaching a 5-month closing high, which suggests a strong demand and tight supply, leading to an optimistic outlook for oil prices.</t>
  </si>
  <si>
    <t>Oil Steady After Quarterly Surge as Spotlight Stays on Demand</t>
  </si>
  <si>
    <t>https://www.bloomberg.com/news/articles/2024-03-31/latest-oil-market-news-and-analysis-for-april-1</t>
  </si>
  <si>
    <t>The sentiment is 'unrelated' because the headline is simply stating the current market situation and trends without expressing a clear positive, negative, or neutral view, making it difficult to categorize the sentiment as anything other than "unrelated".</t>
  </si>
  <si>
    <t>Mexico to Halt Some Oil Exports, Squeezing Global Market</t>
  </si>
  <si>
    <t>https://www.bloomberg.com/news/articles/2024-04-01/mexico-to-halt-some-oil-exports-further-squeezing-global-market</t>
  </si>
  <si>
    <t>The sentiment is not 'bullish' because a reduction in oil exports from Mexico would actually tighten global supply, leading to higher prices, not a bullish environment, which is typically associated with falling prices or increased supply.</t>
  </si>
  <si>
    <t>Prince Albert in the Karoo: SA's Coolest Destination as Crowned...</t>
  </si>
  <si>
    <t>https://www.goodthingsguy.com/lifestyle/prince-albert-in-the-karoo-south-africas-coolest-destination-as-crowned-by-the-wall-street-journal/</t>
  </si>
  <si>
    <t>The sentiment is 'unrelated' because this headline appears to be discussing a travel destination and has no apparent connection to the oil market, making it unrelated to my area of expertise as an oil market analyst.</t>
  </si>
  <si>
    <t>The $100 Oil Call Is Back</t>
  </si>
  <si>
    <t>https://www.bloomberg.com/news/newsletters/2024-03-28/the-100-oil-call-is-back</t>
  </si>
  <si>
    <t>The sentiment is 'bullish' because a call for $100 oil implies a significant price increase, which would be beneficial for oil producers, investors, and other entities with a long position in the oil market.</t>
  </si>
  <si>
    <t>Oil Heads for Quarterly Advance as OPEC+ Holds the Line on Cuts</t>
  </si>
  <si>
    <t>https://www.bloomberg.com/news/articles/2024-03-27/latest-oil-market-news-and-analysis-for-may-28</t>
  </si>
  <si>
    <t>The sentiment is 'bullish' because the OPEC+ agreement to maintain production cuts suggests that the cartel is committed to supporting oil prices, which is a positive development for the market.</t>
  </si>
  <si>
    <t>Oil market sees frenzy of hedge fund buying as traders turn bullish: Opinion</t>
  </si>
  <si>
    <t>https://gulfbusiness.com/oil-market-saw-frenzy-of-hedge-fund-buying/</t>
  </si>
  <si>
    <t>The sentiment is 'bullish' because the headline suggests that hedge funds are increasing their buying activities, which implies a positive outlook on the oil market and expectations of higher prices.</t>
  </si>
  <si>
    <t>Oil Declines as Industry Report Shows Sizable US Stockpile Build</t>
  </si>
  <si>
    <t>https://www.bloomberg.com/news/articles/2024-03-26/latest-oil-market-news-and-analysis-for-march-27</t>
  </si>
  <si>
    <t>The sentiment is 'bearish' because a sizable build in US oil stockpiles typically indicates oversupply in the market, which can put downward pressure on oil prices, making the headline sentiment bearish.</t>
  </si>
  <si>
    <t>Oil Ticks Higher as Sanctions and Russian Attacks Take Spotlight</t>
  </si>
  <si>
    <t>https://www.bloomberg.com/news/articles/2024-03-24/latest-oil-market-news-and-analysis-for-march-25</t>
  </si>
  <si>
    <t>The sentiment is 'bullish' because the headline suggests that the oil market is responding positively to the increased geopolitical tensions and potential supply disruptions caused by Russian attacks and sanctions, which would likely drive oil prices up.</t>
  </si>
  <si>
    <t>US urged Ukraine to halt strikes on Russian oil refineries</t>
  </si>
  <si>
    <t>https://www.ft.com/content/98f15b60-bc4d-4d3c-9e57-cbdde122ac0c</t>
  </si>
  <si>
    <t>The sentiment is 'bearish' because halting strikes on Russian oil refineries could lead to increased oil production and exports from Russia, which would put downward pressure on global oil prices.</t>
  </si>
  <si>
    <t>Brent oil price likely to be above $80 a barrel by year end, shows Bloomberg survey</t>
  </si>
  <si>
    <t>https://gulfbusiness.com/brent-oil-price-likely-to-be-above-usd80-2024-end/</t>
  </si>
  <si>
    <t>The sentiment is 'bullish' because the projected price of $80 a barrel by year-end is significantly higher than current prices, implying a strong upward trend in the oil market.</t>
  </si>
  <si>
    <t>PwC Scrutiny: The Bloomberg Open, Europe Edition</t>
  </si>
  <si>
    <t>https://www.bloomberg.com/news/newsletters/2024-03-22/pwc-scrutiny-the-bloomberg-open-europe-edition</t>
  </si>
  <si>
    <t>The sentiment is 'unrelated' because PwC scrutiny and the Bloomberg Open, Europe Edition are not directly related to the oil market, and therefore do not express a sentiment about oil prices, supply, or demand.</t>
  </si>
  <si>
    <t>Oil settles lower on weaker US gasoline demand, Gaza ceasefire hopes</t>
  </si>
  <si>
    <t>https://www.reuters.com/business/energy/oil-rebounds-us-crude-gasoline-stockpile-drops-provide-some-support-2024-03-21/</t>
  </si>
  <si>
    <t>The sentiment is 'bearish' because the headline suggests that oil prices declined due to weaker US gasoline demand, a key indicator of oil consumption, and ceasefire hopes in Gaza, which could reduce geopolitical tensions and lead to increased oil supplies.</t>
  </si>
  <si>
    <t>Oil slips as investors weigh Fed rate decision</t>
  </si>
  <si>
    <t>https://www.reuters.com/business/energy/oil-pulls-back-multi-month-highs-strong-dollar-dents-demand-2024-03-20/</t>
  </si>
  <si>
    <t>The sentiment is 'bearish' because the headline suggests that investors are cautious and risk-averse ahead of the Fed's rate decision, implying that they are likely to reduce their exposure to riskier assets like oil, which would put downward pressure on prices.</t>
  </si>
  <si>
    <t>Oil Rises on Russian Refinery Outages, Iraq Export Reduction</t>
  </si>
  <si>
    <t>https://www.bloomberg.com/news/articles/2024-03-18/latest-oil-market-news-and-analysis-for-may-19</t>
  </si>
  <si>
    <t>The sentiment is 'bullish' because the headline suggests that oil prices are increasing due to refinery outages in Russia and reduced exports from Iraq, which implies a decrease in global oil supply and a potential tightening of the market.</t>
  </si>
  <si>
    <t>Bloomberg unveils new commodity index featuring Murban Crude Oil</t>
  </si>
  <si>
    <t>https://www.oilandgasmiddleeast.com/business/bloomberg-unveils-new-commodity-index-featuring-murban-crude-oil</t>
  </si>
  <si>
    <t>The sentiment is 'bullish' because the introduction of a new commodity index featuring Murban Crude Oil, a key Middle Eastern crude oil benchmark, is likely to increase market transparency, attract more investors, and potentially boost trading volumes, which could lead to higher prices and a more optimistic market outlook.</t>
  </si>
  <si>
    <t>Morgan Stanley expects Brent to climb to $90/bbl by summer 2024</t>
  </si>
  <si>
    <t>https://www.reuters.com/markets/commodities/morgan-stanley-expects-brent-climb-90bbl-by-summer-2024-2024-03-18/</t>
  </si>
  <si>
    <t>The sentiment is 'bullish' because a forecast of Brent crude oil prices reaching $90/bbl by summer 2024 implies a significant increase from current levels, indicating a optimistic outlook on the market's demand-supply balance and potential for higher prices.</t>
  </si>
  <si>
    <t>Oil Holds Weekly Advance After More Russian Refineries Attacked</t>
  </si>
  <si>
    <t>https://www.bloomberg.com/news/articles/2024-03-17/latest-oil-market-news-and-analysis-for-march-18</t>
  </si>
  <si>
    <t>The sentiment is 'bullish' because the attack on Russian refineries is likely to disrupt oil supplies, leading to a decrease in global oil output and potentially driving up prices.</t>
  </si>
  <si>
    <t>Thereâ€™s an Art to Arranging a Bookshelf. Hereâ€™s How Itâ€™s Done. (Published 2024)</t>
  </si>
  <si>
    <t>https://www.nytimes.com/2024/03/15/realestate/bookshelf-queer-eye.html</t>
  </si>
  <si>
    <t>The sentiment is 'unrelated' because as an oil market analyst, I don't see any connection between arranging a bookshelf and the oil market, making this headline irrelevant to my area of expertise.</t>
  </si>
  <si>
    <t>Oil Advances as IEA Predicts Supply Deficit for Rest of 2024</t>
  </si>
  <si>
    <t>https://www.bloomberg.com/news/articles/2024-03-13/latest-oil-market-news-and-analysis-for-march-14</t>
  </si>
  <si>
    <t>The sentiment is 'bullish' because the headline suggests that the International Energy Agency (IEA), a reputable and influential organization, is forecasting a supply deficit for the remainder of 2024, implying that oil prices are likely to rise due to tightening market conditions.</t>
  </si>
  <si>
    <t>Bloomberg Commodity Murban Crude Oil Index Introduced in Latest Bloomberg Indices Commodities Expansion</t>
  </si>
  <si>
    <t>https://www.bloomberg.com/company/press/bloomberg-commodity-murban-crude-oil-index-introduced-in-latest-bloomberg-indices-commodities-expansion/</t>
  </si>
  <si>
    <t>The sentiment is 'neutral/uncertain' because the introduction of a new commodity index, such as the Bloomberg Commodity Murban Crude Oil Index, is a neutral event in itself, lacking a clear positive or negative connotation, and its impact on the market will depend on various factors including market reception, adoption, and performance.</t>
  </si>
  <si>
    <t>Oil Rises on Russian Refinery Attack, US Stockpile Drawdown</t>
  </si>
  <si>
    <t>https://www.bloomberg.com/news/articles/2024-03-12/latest-oil-market-news-and-analysis-for-march-13</t>
  </si>
  <si>
    <t>The sentiment is 'bullish' because the combination of a refinery attack, which can disrupt supply, and a drawdown in US stockpiles, which suggests a tighter market, would likely support oil prices and boost market optimism.</t>
  </si>
  <si>
    <t>Oil Retreats as Investors Look Ahead to US Inflation Report</t>
  </si>
  <si>
    <t>https://www.bloomberg.com/news/articles/2024-03-10/latest-oil-market-news-and-analysis-for-march-11</t>
  </si>
  <si>
    <t>The sentiment is 'bearish' because the headline suggests that investors are cautious and expect a potential rise in US inflation, which could lead to higher interest rates, a stronger US dollar, and subsequently, downward pressure on oil prices.</t>
  </si>
  <si>
    <t>Brent Cross and Bullring owner reports first rise in rental values since 2017</t>
  </si>
  <si>
    <t>https://www.ft.com/content/9d555470-101b-489d-900e-60ba5032bb6d</t>
  </si>
  <si>
    <t>The sentiment is 'unrelated' because the article is discussing rental values of shopping centers, specifically Brent Cross and Bullring, which has no direct connection to the oil market, making it unrelated to my area of expertise as an oil market analyst.</t>
  </si>
  <si>
    <t>Platts says adding Midland to Brent has gone well, no need for more</t>
  </si>
  <si>
    <t>https://www.reuters.com/markets/commodities/platts-says-adding-midland-brent-has-gone-well-no-need-more-2024-02-26/</t>
  </si>
  <si>
    <t>The sentiment is 'bullish' because the statement implies that the inclusion of Midland crude in the Brent price benchmark has increased its relevance and accuracy, which could lead to increased confidence in the oil market and potentially higher prices.</t>
  </si>
  <si>
    <t>What Makes a Home? Jeremiah Brentâ€™s New Book, The Space That Keeps You , Aims to Find Out</t>
  </si>
  <si>
    <t>https://www.vogue.com/article/what-makes-a-home-jeremiah-brents-new-book-the-space-that-keeps-you-aims-to-find-out</t>
  </si>
  <si>
    <t>The sentiment is 'unrelated' because the headline discusses a book about home design and has no apparent connection to the oil market, making it outside the realm of relevance for an oil market analyst.</t>
  </si>
  <si>
    <t>Oil Slips Ahead of US Pricing Data After Gloomy Demand Outlook</t>
  </si>
  <si>
    <t>https://www.bloomberg.com/news/articles/2024-02-15/latest-oil-market-news-and-analysis-for-feb-16</t>
  </si>
  <si>
    <t>The sentiment is 'bearish' because the headline suggests that the oil market is anticipating a weak pricing data release, which is likely to dampen market optimism and lead to a decline in oil prices.</t>
  </si>
  <si>
    <t>Saudi Aramco starts trading US crude that helps set Brent oil benchmark</t>
  </si>
  <si>
    <t>https://www.reuters.com/markets/commodities/saudi-aramco-starts-trading-us-crude-that-helps-set-brent-oil-benchmark-2024-02-12/</t>
  </si>
  <si>
    <t>The sentiment is 'bullish' because Saudi Aramco's move to trade US crude that helps set the Brent oil benchmark suggests increased participation and influence in the global oil market, which could lead to more efficient price discovery and potentially higher prices.</t>
  </si>
  <si>
    <t>Insisting on US Crude for the SPR Is Misguided</t>
  </si>
  <si>
    <t>https://www.bloomberg.com/news/newsletters/2024-02-09/america-s-insistence-on-us-crude-oil-for-spr-is-misguided</t>
  </si>
  <si>
    <t>The sentiment is 'bullish' because the argument against insisting on US crude for the Strategic Petroleum Reserve (SPR) implies that the reserve could be filled with cheaper or more suitable foreign crude, which could lead to a decrease in domestic crude prices and benefit US oil consumers, thus having a bullish effect on the market.</t>
  </si>
  <si>
    <t>Brent, US crude futures give up some gains on talk of Gaza ceasefire</t>
  </si>
  <si>
    <t>https://www.reuters.com/business/energy/oil-prices-mostly-flat-blinkens-middle-east-visit-assessed-2024-02-06/</t>
  </si>
  <si>
    <t>The sentiment is 'bearish' because the prospect of a Gaza ceasefire could lead to a decrease in oil prices as it would reduce the risk of supply disruptions in the Middle East, which has been a key factor supporting prices in recent weeks.</t>
  </si>
  <si>
    <t>Oil Heads for Weekly Drop as Talks for Gaza Ceasefire Advance</t>
  </si>
  <si>
    <t>https://www.bloomberg.com/news/articles/2024-02-01/latest-oil-market-news-and-analysis-for-feb-2</t>
  </si>
  <si>
    <t>The sentiment is 'bearish' because the advancement of ceasefire talks in Gaza reduces the geopolitical risk premium in oil prices, paving the way for a potential drop in crude oil prices.</t>
  </si>
  <si>
    <t>Oil Slides on Reports of a Potential Israel-Hamas Ceasefire</t>
  </si>
  <si>
    <t>https://www.bloomberg.com/news/articles/2024-01-31/latest-oil-market-news-and-analysis-for-feb-1</t>
  </si>
  <si>
    <t>The sentiment is 'bearish' because a potential ceasefire would likely lead to a reduction in Middle East tensions, which could result in lower oil prices due to decreased risk premium in the market.</t>
  </si>
  <si>
    <t>Oil prices climb on geopolitical tensions, positive economic data</t>
  </si>
  <si>
    <t>https://www.reuters.com/markets/commodities/oil-edges-up-geopolitical-concerns-support-prices-2024-01-30/</t>
  </si>
  <si>
    <t>The sentiment is 'bullish' because the headline suggests that oil prices are rising due to a combination of factors, including geopolitical tensions that may disrupt supply and positive economic data that may indicate increased demand, which would support a optimistic outlook on oil prices.</t>
  </si>
  <si>
    <t>Oil Steady as Market Waits for US Response to Deadly Attack</t>
  </si>
  <si>
    <t>https://www.bloomberg.com/news/articles/2024-01-29/latest-oil-market-news-and-analysis-for-jan-30</t>
  </si>
  <si>
    <t>The sentiment is 'unrelated' because the headline appears to be reporting on the current state of the oil market, which is unaffected by the deadly attack, implying a neutral or unrelated sentiment rather than a positive, negative, or mixed one.</t>
  </si>
  <si>
    <t>Oil Drops With OPEC+ Output Steady, Traders Awaiting US Response</t>
  </si>
  <si>
    <t>https://www.bloomberg.com/news/articles/2024-01-28/latest-oil-market-news-and-analysis-for-jan-29</t>
  </si>
  <si>
    <t>The sentiment is 'bearish' because the headline suggests that OPEC+ output remains steady, implying no reduction in supply to support prices, while traders are waiting for a US response, which may indicate a lack of confidence in the market's ability to rally without external intervention.</t>
  </si>
  <si>
    <t>Oil Set for Best Week Since October on Rising Geopolitical Risks</t>
  </si>
  <si>
    <t>https://www.bloomberg.com/news/articles/2024-01-26/latest-oil-market-news-and-analysis-for-january-26</t>
  </si>
  <si>
    <t>The sentiment is 'bullish' because the mention of "rising geopolitical risks" implies that oil prices are likely to increase due to concerns about potential supply disruptions, which would support higher prices and a positive outlook for the oil market.</t>
  </si>
  <si>
    <t>Watch Oil Latest: Brent Rises as Much as 2.5% on US Airstrikes</t>
  </si>
  <si>
    <t>https://www.bloomberg.com/news/videos/2024-01-12/oil-latest-brent-rises-as-much-as-2-5-on-us-airstrikes-video</t>
  </si>
  <si>
    <t>The sentiment is 'bullish' because the headline suggests that oil prices are rising, specifically Brent crude, which is a key benchmark, in response to US airstrikes, implying a potential disruption to oil supplies and supporting higher prices.</t>
  </si>
  <si>
    <t>Oil Climbs as US Strikes Against Houthis Raise Middle East Risks</t>
  </si>
  <si>
    <t>https://www.bloomberg.com/news/articles/2024-01-11/latest-oil-market-news-and-analysis-for-jan-12</t>
  </si>
  <si>
    <t>The sentiment is 'bullish' because the increased geopolitical risks in the Middle East, triggered by US strikes against Houthis, may lead to supply disruptions and thus drive up oil prices, benefiting oil producers and bullish investors.</t>
  </si>
  <si>
    <t>Oil tops $80 a barrel after Houthi threat diverts tankers from Red Sea</t>
  </si>
  <si>
    <t>https://www.ft.com/content/97f31f14-0697-4fa9-bff0-64c23799651f</t>
  </si>
  <si>
    <t>The sentiment is 'bullish' because the threat from the Houthi group diverting tankers from the Red Sea is likely to disrupt oil supplies, leading to higher prices and supporting a bullish market tone.</t>
  </si>
  <si>
    <t>Citi lowers Brent price outlook for 2024 and 2025 on oversupply fears</t>
  </si>
  <si>
    <t>https://www.reuters.com/markets/commodities/citi-lowers-brent-price-outlook-2024-2025-oversupply-fears-2024-01-12/</t>
  </si>
  <si>
    <t>The sentiment is 'bearish' because a lower price outlook for Brent crude oil in 2024 and 2025, driven by concerns of oversupply, implies a negative view of the market's fundamentals, suggesting that demand may not be sufficient to absorb available supply, leading to downward pressure on prices.</t>
  </si>
  <si>
    <t>Oil climbs 1% as tankers avoid Red Sea after strikes on Houthis</t>
  </si>
  <si>
    <t>https://www.reuters.com/markets/commodities/oil-prices-rise-more-than-2-after-us-britain-strikes-yemen-2024-01-12/</t>
  </si>
  <si>
    <t>The sentiment is 'bullish' because the headline suggests that oil tanker traffic is being disrupted, which could lead to supply chain constraints and drive up oil prices.</t>
  </si>
  <si>
    <t>Goldman Sachs lowers 2025 average Brent forecast to $77/bbl</t>
  </si>
  <si>
    <t>https://www.reuters.com/markets/commodities/citi-lowers-2024-brent-price-forecast-74-per-barrel-2024-01-12/</t>
  </si>
  <si>
    <t>The sentiment is 'bearish' because a lower oil price forecast from a reputable investment bank like Goldman Sachs implies a weaker outlook for oil demand and prices, which could negatively impact oil producers and investors.</t>
  </si>
  <si>
    <t>Oil up 1% as Middle East tensions offset US inflation worries</t>
  </si>
  <si>
    <t>https://www.reuters.com/markets/commodities/oil-prices-tick-up-middle-east-tensions-rise-2024-01-11/</t>
  </si>
  <si>
    <t>The sentiment is 'bullish' because the headline suggests that the upward pressure on oil prices from heightened Middle East tensions is overpowering the downward pressure from US inflation worries, implying that the positive geopolitical factors are currently dominating market sentiment.</t>
  </si>
  <si>
    <t>US oil production forecast to reach new heights despite drilling slowdown</t>
  </si>
  <si>
    <t>https://www.ft.com/content/d3c0ae65-3c86-4b30-9cb9-760935c7935a</t>
  </si>
  <si>
    <t>The sentiment is 'bullish' because the forecast of reaching new heights in US oil production suggests an expected increase in supply, which is likely to put downward pressure on prices and benefit oil consumers, thereby supporting a bullish market outlook.</t>
  </si>
  <si>
    <t>Economic worries and new supplies temper outlook for crude oil price</t>
  </si>
  <si>
    <t>https://www.ft.com/content/6cf5e073-b0f1-4941-be35-824672d5f7a4</t>
  </si>
  <si>
    <t>The sentiment is 'bearish' because the phrase "temper outlook" implies a downward moderation of expectations for crude oil prices, suggesting that the combination of economic worries and new supplies will put downward pressure on prices.</t>
  </si>
  <si>
    <t>The impact of Russiaâ€“Ukraine war on crude oil prices: an EMC framework</t>
  </si>
  <si>
    <t>https://www.nature.com/articles/s41599-023-02526-9</t>
  </si>
  <si>
    <t>The sentiment is 'bearish' because the Russia-Ukraine war is likely to disrupt oil supplies from Russia, a major oil exporter, leading to potential supply chain disruptions and upward pressure on crude oil prices.</t>
  </si>
  <si>
    <t>Oil Advances as Iran Warship in Red Sea Ratchets Tensions Higher</t>
  </si>
  <si>
    <t>https://www.bloomberg.com/news/articles/2024-01-02/latest-oil-market-news-and-analysis-for-jan-2</t>
  </si>
  <si>
    <t>The sentiment is 'bullish' because the headline suggests that rising tensions in the Red Sea, triggered by the presence of an Iranian warship, could lead to a disruption in oil supplies, which would drive up prices and support a bullish market sentiment.</t>
  </si>
  <si>
    <t>Oil Limps Into 2024 as OPEC+ and War Fail to Prevent Annual Drop</t>
  </si>
  <si>
    <t>https://www.bloomberg.com/news/articles/2023-12-29/latest-oil-market-news-and-analysis-for-dec-29</t>
  </si>
  <si>
    <t>The sentiment is 'bearish' because the headline implies that despite supportive factors such as OPEC+ production cuts and geopolitical tensions, oil prices still managed to decline over the course of the year, suggesting a lack of upward momentum and a prevailing negative tone in the market.</t>
  </si>
  <si>
    <t>Brazil environment minister demands â€˜ceilingâ€™ on oil production</t>
  </si>
  <si>
    <t>https://www.ft.com/content/0a1745ef-39f2-45ad-a5ef-d89b96d039db</t>
  </si>
  <si>
    <t>The sentiment is 'bearish' because a ceiling on oil production would likely lead to reduced supply, which could negatively impact oil companies' revenue and profitability, thus putting downward pressure on oil prices.</t>
  </si>
  <si>
    <t>Oil prices slip as Angola decides to exit OPEC</t>
  </si>
  <si>
    <t>https://www.reuters.com/business/energy/brent-near-80-us-output-hits-record-2023-12-21/</t>
  </si>
  <si>
    <t>The sentiment is 'bearish' because Angola's exit from OPEC reduces the cartel's ability to coordinate production cuts, potentially leading to increased global supply and downward pressure on oil prices.</t>
  </si>
  <si>
    <t xml:space="preserve">US and UK tighten enforcement of Russian oil price cap </t>
  </si>
  <si>
    <t>https://www.ft.com/content/3131be44-6316-4099-b00e-e3cf41393dd0</t>
  </si>
  <si>
    <t>The sentiment is 'bearish' because the tightening of enforcement of the Russian oil price cap is likely to reduce the global supply of oil, leading to higher prices and benefiting oil producers, which is a negative development for oil consumers and the broader economy.</t>
  </si>
  <si>
    <t>Oil Gains as BP Joins Shippers Avoiding Red Seaâ€™s Rising Attacks</t>
  </si>
  <si>
    <t>https://www.bloomberg.com/news/articles/2023-12-17/latest-oil-market-news-and-analysis-for-dec-18</t>
  </si>
  <si>
    <t>The sentiment is 'bullish' because the headline suggests that oil prices are increasing due to supply concerns, as BP and other shippers are avoiding the Red Sea route due to rising attacks, which may lead to tighter oil supplies and higher prices.</t>
  </si>
  <si>
    <t>Goldman cuts 2024 Brent price forecast on strong US supply</t>
  </si>
  <si>
    <t>https://www.reuters.com/markets/commodities/goldman-cuts-2024-brent-price-forecast-strong-us-supply-2023-12-18/</t>
  </si>
  <si>
    <t>The sentiment is 'bearish' because a cut in the price forecast implies that Goldman expects downward pressure on Brent prices in 2024, likely due to an oversupply in the market, which would be unfavorable for oil producers and bullish investors.</t>
  </si>
  <si>
    <t>Wall Street Sees Some Scope for Oil Price Recovery Next Year</t>
  </si>
  <si>
    <t>https://www.bloomberg.com/news/articles/2023-12-15/wall-street-sees-some-scope-for-oil-price-recovery-next-year</t>
  </si>
  <si>
    <t>The sentiment is 'bullish' because the headline suggests that Wall Street expects oil prices to recover next year, implying a positive outlook for the oil market, which is typically associated with upward price movements.</t>
  </si>
  <si>
    <t>Oil Swings Negative as Hawkish Fedspeak Stifles Relief Rally</t>
  </si>
  <si>
    <t>https://www.bloomberg.com/news/articles/2023-12-15/latest-oil-market-news-and-analysis-for-dec-15</t>
  </si>
  <si>
    <t>The sentiment is 'bearish' because the headline suggests that the Federal Reserve's hawkish comments have dampened the oil market's relief rally, implying that the outlook for oil prices is now more pessimistic.</t>
  </si>
  <si>
    <t>Opec+ now controls barely half of oil market, says IEA</t>
  </si>
  <si>
    <t>https://www.ft.com/content/16524bbd-c050-476c-aa72-004ab8df24eb</t>
  </si>
  <si>
    <t>The sentiment is 'bearish' because a decline in Opec+'s control over the oil market implies that the cartel's ability to influence prices is waning, which could lead to a more competitive market and potentially lower prices.</t>
  </si>
  <si>
    <t>Brent could quickly top $90/bbl on Fed pivot, China demand recovery - BofA</t>
  </si>
  <si>
    <t>https://www.reuters.com/markets/commodities/brent-could-quickly-top-90bbl-fed-pivot-china-demand-recovery-bofa-2022-12-12/</t>
  </si>
  <si>
    <t>The sentiment is 'bullish' because the headline suggests that Brent crude oil prices could rapidly reach $90 per barrel, driven by a potential Federal Reserve pivot and a recovery in Chinese demand, indicating a positive outlook for oil prices.</t>
  </si>
  <si>
    <t>Crude Oil Prices Drop to Lowest Level Since June</t>
  </si>
  <si>
    <t>https://www.wsj.com/livecoverage/stock-market-today-cpi-report-inflation-12-12-2023/card/crude-oil-prices-drop-to-lowest-level-since-june-U07X1uqubNOW3bIrCukF</t>
  </si>
  <si>
    <t>The sentiment is 'bearish' because a drop in crude oil prices to their lowest level since June suggests a surplus of oil in the market, which could lead to further price declines and negatively impact oil producers and related industries.</t>
  </si>
  <si>
    <t>Explainer: What happened to the 2022 global oil rally?</t>
  </si>
  <si>
    <t>https://www.reuters.com/business/energy/what-happened-2022-global-oil-rally-2022-12-08/</t>
  </si>
  <si>
    <t>The sentiment is 'bearish' because the headline implies that the 2022 global oil rally has come to an end, suggesting that oil prices may have peaked and are likely to decline or stabilize at a lower level.</t>
  </si>
  <si>
    <t>Oil gives up the year's gains, closing at 2022 low</t>
  </si>
  <si>
    <t>https://www.reuters.com/markets/commodities/oil-opens-mixed-economic-fears-pressure-prices-2022-12-07/</t>
  </si>
  <si>
    <t>The sentiment is 'bearish' because the headline explicitly states that oil has given up its year's gains, implying a significant decline in price, and furthermore, it has closed at its lowest point in 2022, which is a clear indication of a downturn in the market.</t>
  </si>
  <si>
    <t>Oil market caught by surprise as US output surges</t>
  </si>
  <si>
    <t>https://www.ft.com/content/3a1bbb09-863c-4c51-a8c0-31eac536b938</t>
  </si>
  <si>
    <t>The sentiment is 'bearish' because a sudden and unexpected surge in US oil output is likely to increase global supply, putting downward pressure on oil prices, which is a bearish development for oil producers and bulls in the market.</t>
  </si>
  <si>
    <t>Has the G7 price cap worked?</t>
  </si>
  <si>
    <t>https://www.ft.com/content/512a30c8-382f-43d8-926c-41f35f2776fa</t>
  </si>
  <si>
    <t>The sentiment is 'bullish' because the implementation of the G7 price cap has successfully limited Russia's oil revenue while allowing Russian oil to continue flowing into the global market, thereby reducing the risk of a supply shock and supporting oil prices.</t>
  </si>
  <si>
    <t>Nigeria Unnerves Oil Traders With Sudden Pricing Change</t>
  </si>
  <si>
    <t>https://www.bloomberg.com/news/articles/2023-12-05/nigeria-unnerves-oil-traders-with-sudden-pricing-change</t>
  </si>
  <si>
    <t>The sentiment is 'bearish' because the sudden and unexpected pricing change by Nigeria, a major oil producer, is likely to create uncertainty and volatility in the oil market, which could lead to a decrease in oil prices and negatively impact oil traders.</t>
  </si>
  <si>
    <t>Price Wise: Managing oil price risk in resin prices</t>
  </si>
  <si>
    <t>https://www.plasticstoday.com/resin-pricing/price-wise-managing-oil-price-risk-in-resin-prices</t>
  </si>
  <si>
    <t>The sentiment is 'unrelated' because the headline appears to be discussing the management of oil price risk in the context of resin prices, implying a neutral or informative tone rather than expressing a clear opinion or emotional stance.</t>
  </si>
  <si>
    <t>Opec+ production cuts leave oil market sceptical</t>
  </si>
  <si>
    <t>https://www.ft.com/content/b809994d-6a1b-40e0-b75c-a659c46ffedd</t>
  </si>
  <si>
    <t>The sentiment is 'bearish' because the headline suggests that the market is unconvinced that the Opec+ production cuts will be sufficient to balance the market, implying that oil prices may not rise or may even fall as a result.</t>
  </si>
  <si>
    <t>Watch Jefferies' Thill on Snowflake 3Q Report, Customers</t>
  </si>
  <si>
    <t>https://www.google.com/url?sa=t&amp;rct=j&amp;q=&amp;esrc=s&amp;source=newssearch&amp;cd=&amp;ved=2ahUKEwjivOLexZeMAxWdV2wGHYCyNUc4yAEQxfQBKAB6BAgQEAE&amp;url=https%3A%2F%2Fwww.bloomberg.com%2Fnews%2Fvideos%2F2023-11-29%2Fjefferies-thill-on-snowflake-3q-report-customers-video&amp;usg=AOvVaw3HzIvEXcOiQ8c8xVBY-xoi&amp;opi=89978449</t>
  </si>
  <si>
    <t>The sentiment is 'unrelated' because the headline appears to discuss Snowflake, a cloud-based data warehousing company, and Jefferies' opinion on its 3Q report, which has no apparent connection to the oil market.</t>
  </si>
  <si>
    <t>Bausch + Lomb CEO Brent Saunders Pays $35.35 Million for Cherâ€™s Former Miami Beach Home</t>
  </si>
  <si>
    <t>The sentiment is 'unrelated' because this headline appears to be a celebrity real estate news item and lacks any connection to the oil market or energy sector, making it completely unrelated to the field of oil market analysis.</t>
  </si>
  <si>
    <t>Oil falls, Brent settles below $80 ahead of OPEC+ meeting</t>
  </si>
  <si>
    <t>https://www.reuters.com/business/energy/brent-holds-above-80bbl-ahead-opec-meeting-2023-11-27/</t>
  </si>
  <si>
    <t>The sentiment is 'bearish' because the headline implies that oil prices are declining and settling below a key psychological level of $80, which is often seen as a bearish signal, and the upcoming OPEC+ meeting may lead to increased oil supply, further pressuring prices.</t>
  </si>
  <si>
    <t>WSJ News Exclusive | Now for Some Good News About Climate - WSJ</t>
  </si>
  <si>
    <t>https://news.google.com/rss/articles/CBMijgFBVV95cUxNeno1Z0RTWjZuSW5IOUtodUU1TjdnWHhEQmxiemVkMkYxOVRSWktfTWZGa1dfT0F5b3FCMUE2WnJCeHdTZGM0ajZ5akJaZHBMcTYwQkpncUFuR3B1b0puVlp5bW80RUJ2eFoteU9Jel8zOHhlOUNDdjA2VFVveUxRTGlZY0tWMEFQZ002X3h3?oc=5</t>
  </si>
  <si>
    <t>The sentiment is not 'bearish' because a headline that highlights "good news" about climate change is likely to imply a reduction in fossil fuel demand and/or increased adoption of renewable energy sources, which could be positive for the environment but would likely be negative for oil prices and the fossil fuel industry as a whole, not particularly bearish.</t>
  </si>
  <si>
    <t>Oil climbs over 2% as OPEC seen deepening cuts</t>
  </si>
  <si>
    <t>https://www.reuters.com/business/energy/oil-extends-gains-opec-mull-deeper-cuts-2023-11-20/</t>
  </si>
  <si>
    <t>The sentiment is 'bullish' because the headline suggests that OPEC is likely to reduce oil supply further, which would tighten the market and support higher prices, prompting a positive reaction from investors and traders.</t>
  </si>
  <si>
    <t>Petrobras aims to transform Brazil into global energy power</t>
  </si>
  <si>
    <t>https://www.ft.com/content/76a1ccb0-8534-4513-8fb5-5eb5e07773bd</t>
  </si>
  <si>
    <t>The sentiment is 'bullish' because a statement about transforming Brazil into a global energy power implies significant growth prospects and increased market share for Petrobras, which would likely have a positive impact on the company's stock price and investment attractiveness.</t>
  </si>
  <si>
    <t>Oil prices slump to 4-month low on U.S., Chinese economic concerns</t>
  </si>
  <si>
    <t>https://www.reuters.com/business/energy/oil-prices-dip-us-crude-build-asia-demand-worries-2023-11-16/</t>
  </si>
  <si>
    <t>The sentiment is 'bearish' because the headline explicitly states that oil prices have fallen to a 4-month low, which implies a significant decline in value, and attributes this drop to concerns over the two largest economies in the world, the US and China, which are major oil consumers, suggesting a potential decrease in demand.</t>
  </si>
  <si>
    <t xml:space="preserve">US hits 3 UAE shipowners with sanctions for violating Russian oil price cap </t>
  </si>
  <si>
    <t>https://www.ft.com/content/f540d59e-8b6f-429c-873b-251028e8a8df</t>
  </si>
  <si>
    <t>The sentiment is not 'bullish' because the imposition of sanctions on UAE shipowners for violating the Russian oil price cap suggests that the global community is enforcing measures to limit Russia's oil revenues, which could lead to tighter supplies and potentially higher prices, exerting upward pressure on the oil market.</t>
  </si>
  <si>
    <t>Oil Extends Relief Rally to Fourth Day on Better Demand Signals</t>
  </si>
  <si>
    <t>https://www.bloomberg.com/news/articles/2023-11-14/latest-oil-market-news-and-analysis-for-nov-14</t>
  </si>
  <si>
    <t>The sentiment is 'bullish' because the phrase "relief rally" implies a rebound in oil prices from previously bearish market conditions, and the mention of "better demand signals" suggests an improving fundamental outlook, which would justify a positive market sentiment.</t>
  </si>
  <si>
    <t>Almost no Russian oil is sold below $60 cap, say western officials</t>
  </si>
  <si>
    <t>https://www.ft.com/content/09e8ee14-a665-4644-8ec5-5972070463ad</t>
  </si>
  <si>
    <t>The sentiment is 'bullish' because the inability of Russia to sell oil below the $60 cap suggests that the global supply of oil may not be as abundant as thought, which could lead to higher prices and a more supportive market environment.</t>
  </si>
  <si>
    <t>Entrepreneurs launch global media buying and marketing agency for start-ups</t>
  </si>
  <si>
    <t>https://www.ft.com/content/501baa4e-944d-4085-82a0-660eef85cf5b</t>
  </si>
  <si>
    <t>The sentiment is 'unrelated' because the headline appears to be discussing a new marketing agency focused on start-ups, which has no apparent connection to the oil market or oil industry, making it an unrelated topic to my expertise as an oil market analyst.</t>
  </si>
  <si>
    <t>Brent oil finishes over $80 after this week's sell-off</t>
  </si>
  <si>
    <t>https://www.reuters.com/markets/commodities/oil-ticks-higher-markets-shrug-off-china-inflation-data-2023-11-09/</t>
  </si>
  <si>
    <t>The sentiment is 'bullish' because the headline suggests that the oil price has rebounded from a recent decline, indicating a turnaround in market momentum and a potential shift towards a more optimistic outlook.</t>
  </si>
  <si>
    <t>Adding U.S. WTI crude to Brent benchmark has gone well, ICE says</t>
  </si>
  <si>
    <t>https://www.reuters.com/business/energy/adding-us-wti-crude-brent-benchmark-has-gone-well-ice-says-2023-11-07/</t>
  </si>
  <si>
    <t>The sentiment is 'bullish' because the successful integration of U.S. WTI crude into the Brent benchmark suggests increased liquidity and diversity in the global oil market, which could lead to more accurate price discovery and potentially higher prices.</t>
  </si>
  <si>
    <t>Slim: Forecast Oil Price To Reach $98 in 2024</t>
  </si>
  <si>
    <t>https://www.bloomberg.com/news/videos/2023-11-03/slim-forecast-oil-price-to-reach-98-in-2024-video</t>
  </si>
  <si>
    <t>The sentiment is 'bullish' because a forecast of oil prices reaching $98 in 2024 implies an upward trend in prices, which suggests a positive outlook for oil producers and companies with exposure to the energy sector.</t>
  </si>
  <si>
    <t>Oil prices up 3% on worries about Middle East supplies</t>
  </si>
  <si>
    <t>https://www.reuters.com/markets/commodities/oil-set-first-weekly-drop-three-mideast-situation-holds-2023-10-27/</t>
  </si>
  <si>
    <t>The sentiment is 'bullish' because the phrase "worries about Middle East supplies" implies a potential disruption to oil production, which would lead to higher prices, supporting a bullish outlook.</t>
  </si>
  <si>
    <t>Bain Capital Explores Options Including Sale for $5 Billion Rocket Software</t>
  </si>
  <si>
    <t>https://www.bloomberg.com/news/articles/2023-10-25/bain-is-said-to-explore-options-for-5-billion-rocket-software</t>
  </si>
  <si>
    <t>The sentiment is 'unrelated' because the headline appears to be about a private equity firm exploring options for a software company, which has no discernible connection to the oil market, making it an unrelated news item from an oil market analyst's perspective.</t>
  </si>
  <si>
    <t>Chevron Will Discontinue Oil Hedging Once Hess Deal Is Complete</t>
  </si>
  <si>
    <t>https://www.bloomberg.com/news/articles/2023-10-23/chevron-will-discontinue-oil-hedging-once-hess-deal-is-complete</t>
  </si>
  <si>
    <t>The sentiment is 'bullish' because Chevron's decision to discontinue oil hedging suggests that the company is confident in the future direction of oil prices, expecting them to rise, and thus will not need to lock in prices through hedging, which is a typical risk-mitigation strategy used during periods of price volatility or downturn.</t>
  </si>
  <si>
    <t>Edible Insects and Exotic Plants May Be the Future of Food</t>
  </si>
  <si>
    <t>https://www.bloomberg.com/news/articles/2023-10-19/edible-insects-and-exotic-plants-may-be-the-future-of-food</t>
  </si>
  <si>
    <t>The sentiment is 'unrelated' because edible insects and exotic plants have no direct connection to the oil market, and thus, discussions around their potential as a future food source do not influence or relate to oil market trends or analysis.</t>
  </si>
  <si>
    <t>Oil falls more that $1 a barrel on Venezuela deal hopes</t>
  </si>
  <si>
    <t>https://www.reuters.com/markets/commodities/oil-prices-ease-investors-assess-impact-israel-hamas-war-2023-10-15/</t>
  </si>
  <si>
    <t>The sentiment is 'bearish' because the headline suggests that oil prices are falling due to hopes of a deal that would increase oil supply from Venezuela, which would put downward pressure on prices.</t>
  </si>
  <si>
    <t>Oil surges nearly 6% after Israel begins ground raids into Gaza</t>
  </si>
  <si>
    <t>https://www.reuters.com/markets/commodities/oil-climbs-us-sanctions-stockpile-forecasts-raise-supply-concerns-2023-10-13/</t>
  </si>
  <si>
    <t>The sentiment is 'bullish' because geopolitical tensions and conflicts in the Middle East, such as Israel's ground raids into Gaza, often lead to concerns about potential disruptions to oil supplies, driving up prices.</t>
  </si>
  <si>
    <t>Behind ExxonMobilâ€™s contrarian $60bn oil bet</t>
  </si>
  <si>
    <t>https://www.ft.com/content/f389210f-ea4d-492d-b562-62aadd6ddc42</t>
  </si>
  <si>
    <t>The sentiment is 'bullish' because ExxonMobil's significant investment in oil production suggests that the company is optimistic about future oil demand and prices, implying a positive outlook for the industry.</t>
  </si>
  <si>
    <t>Exxon Mobil to Buy Pioneer Natural Resources in $60 Billion Deal to Create Shale Giant - WSJ</t>
  </si>
  <si>
    <t>https://news.google.com/rss/articles/CBMirAFBVV95cUxQOGJjSHZ3cVR0RDVLS2RaRDFCcGR0ZVNpMmdXX2o5QnpDRXd2TDQ5Tk8zV3B1SmFlemxFVGpUMDNXd3Y3aFFIbEtoSWl3MjcxakxGMVNxa1BDZXBuQUVjd3ptcWNRblhrZF9xVkFReEptOGJMQndwSko2ZldieHlONTRXVG4yYWgtMXkxS1hxN1lBZkU4U1l0dXljazFmdXFILU1OVGZpVXdUdUZM?oc=5</t>
  </si>
  <si>
    <t>The sentiment is 'bullish' because the acquisition of Pioneer Natural Resources by Exxon Mobil would create a shale giant with significant resources and operational synergies, implying potential long-term growth and profitability for the combined entity.</t>
  </si>
  <si>
    <t>Oil prices surge on fears of Mideast conflict adding to supply tightness</t>
  </si>
  <si>
    <t>https://www.reuters.com/business/energy/oil-prices-jump-middle-east-violence-roils-markets-2023-10-08/</t>
  </si>
  <si>
    <t>The sentiment is 'bullish' because the headline suggests that oil prices are increasing due to concerns about potential disruptions to Middle Eastern oil supplies, which implies a tightening of the market and a greater demand for oil.</t>
  </si>
  <si>
    <t>Oil Surges as Israel Conflict Reignites Middle East Volatility</t>
  </si>
  <si>
    <t>https://www.bloomberg.com/news/articles/2023-10-08/oil-rallies-by-more-than-3-after-hamas-attacks-against-israel</t>
  </si>
  <si>
    <t>The sentiment is 'bullish' because the re-ignition of the Israel conflict increases the risk premium for oil, as it raises concerns about potential disruptions to oil supplies from the Middle East, which tends to support higher prices.</t>
  </si>
  <si>
    <t>Oil Rally Gets Fresh Impetus From Shrinking Stockpiles at US Hub</t>
  </si>
  <si>
    <t>https://www.bloomberg.com/news/articles/2023-09-28/latest-oil-market-news-and-analysis-for-sept-28</t>
  </si>
  <si>
    <t>The sentiment is 'bullish' because the shrinking stockpiles at the US hub suggest a tightening of supply, which is a fundamental factor that typically supports higher oil prices.</t>
  </si>
  <si>
    <t>Oil climbs 3% as steep US crude stocks draw adds to supply concerns</t>
  </si>
  <si>
    <t>https://www.reuters.com/markets/commodities/oil-prices-edge-higher-markets-focus-supply-tightness-2023-09-27/</t>
  </si>
  <si>
    <t>The sentiment is 'bullish' because a steep draw in US crude stocks suggests a tighter supply balance, which is typically a positive price driver and supports the 3% gain in oil prices.</t>
  </si>
  <si>
    <t>Oil Jumps to One-Year High as Cushing Stocks Hit Critical Levels</t>
  </si>
  <si>
    <t>https://www.bloomberg.com/news/articles/2023-09-27/latest-oil-market-news-and-analysis-for-sept-27</t>
  </si>
  <si>
    <t>The sentiment is 'bullish' because the headline suggests that oil prices are surging to a one-year high, likely driven by a decline in inventories at Cushing, a key storage hub, which implies a tightening of the physical market and increased demand.</t>
  </si>
  <si>
    <t>Russia dodges G7 price cap sanctions on most of its oil exports</t>
  </si>
  <si>
    <t>https://www.ft.com/content/cad37c16-9cbd-473c-aa2f-102c21393d2e</t>
  </si>
  <si>
    <t>The sentiment is 'bullish' because the news suggests that Russia will be able to continue exporting most of its oil without being subject to the price cap, which could help maintain global oil supply and put downward pressure on prices.</t>
  </si>
  <si>
    <t>Oil at $100 Is Too High, Even for Energy Companies - WSJ</t>
  </si>
  <si>
    <t>https://news.google.com/rss/articles/CBMingFBVV95cUxNZzlvMWotOTJDcGo5U2NwN1dJTjU0bEt3ay13amdEdEloOTJXLTZvdGJzQnBlQlVQcWRpOEtQeXY2WEFsWFViNlV0STFFZk9zNVBlVC16OE1PQnI1Vnp3MldBTWN3T21mZ3l2bkRPV0N5ZnlXOF9lcGtJdTlJUGVIeVpia0F0am9EV0tZYTlMcjU5dzFfMmowQlNxNnI0UQ?oc=5</t>
  </si>
  <si>
    <t>The sentiment is 'bearish' because the headline suggests that even energy companies, which are typically long on oil, believe that $100 per barrel is unsustainable, implying that the current price level is overvalued and may be due for a correction.</t>
  </si>
  <si>
    <t>Oil Rises Toward $94 as Tightening Market Vies With Hawkish Fed</t>
  </si>
  <si>
    <t>https://www.bloomberg.com/news/articles/2023-09-22/latest-oil-market-news-and-analysis-for-september-22</t>
  </si>
  <si>
    <t>The sentiment is 'bullish' because the phrase "Tightening Market" implies a supply shortage, which is a fundamental factor that typically supports higher oil prices, outweighing the potentially bearish influence of a "Hawkish Fed" that might lead to higher interest rates and a stronger US dollar.</t>
  </si>
  <si>
    <t>WSJ News Exclusive | Iranâ€™s Oil Exports Have Soared During Quiet Diplomacy With U.S. - WSJ</t>
  </si>
  <si>
    <t>https://news.google.com/rss/articles/CBMirAFBVV95cUxNem9vUWZrQ0lNbkJPLUtONmhnYjlqb0VCWGhJR0NKVXAzb3V5cnJqUVRCY0FzZFE4U0pVRVBGcWpxWEowN1ptcjY3YldoYkstd2E4M0pBNUoyRXEwSmJPbWlvSVVwYTBuLXk4YS1JWWJ0b3pOZ2VlRzM0clZqNXJXeVpNMlVITE5NcUpyUVh2aldJOEFmNGN5MWVDbDZXMVhURlMwYzVfMjhDY1NR?oc=5</t>
  </si>
  <si>
    <t>The sentiment is 'bearish' because an increase in Iranian oil exports implies an increase in global oil supply, which could put downward pressure on oil prices, negatively impacting oil producers and related industries.</t>
  </si>
  <si>
    <t>Hedge funds add fuel to oil price rally with bets on rise above $100</t>
  </si>
  <si>
    <t>https://www.ft.com/content/bb1ac712-2f58-4eb8-bf87-a372ceedd07e</t>
  </si>
  <si>
    <t>The sentiment is 'bullish' because the headline suggests that hedge funds are actively betting on oil prices rising above $100, implying a high level of confidence in the market's upward momentum and potential for further price increases.</t>
  </si>
  <si>
    <t>Oil price exceeds $95 a barrel on fears of supply shortfall</t>
  </si>
  <si>
    <t>https://www.ft.com/content/c2482121-6b89-462f-9b2e-3cdbb0498d32</t>
  </si>
  <si>
    <t>The sentiment is 'bullish' because a supply shortfall implies a potential imbalance in favor of demand, which would lead to higher prices, thereby benefiting oil producers and investors who are long on oil.</t>
  </si>
  <si>
    <t>Oil Edges Closer to $95 a Barrel as Global Market Tightens Up</t>
  </si>
  <si>
    <t>https://www.bloomberg.com/news/articles/2023-09-17/latest-oil-market-news-and-analysis-for-september-18</t>
  </si>
  <si>
    <t>The sentiment is 'bullish' because the headline suggests that oil prices are rising due to a tightening global market, implying a sense of optimism and upward price pressure in the market.</t>
  </si>
  <si>
    <t>Oil Analyst Sen Sees Brent at $100 by Halloween</t>
  </si>
  <si>
    <t>https://www.bloomberg.com/news/videos/2023-09-18/oil-analyst-sen-sees-brent-at-100-by-halloween</t>
  </si>
  <si>
    <t>The sentiment is 'bullish' because a price target of $100 by Halloween implies a significant increase in oil prices, suggesting a strong demand outlook and a potential shortage in global supply.</t>
  </si>
  <si>
    <t>Oil prices rise as tight supply outlook offsets demand woes</t>
  </si>
  <si>
    <t>https://www.reuters.com/markets/commodities/oil-inches-higher-supply-concerns-china-demand-recovery-2023-09-18/</t>
  </si>
  <si>
    <t>The sentiment is 'bullish' because the headline suggests that the supply-side constraints are outweighing the demand-side concerns, implying a upward pressure on oil prices.</t>
  </si>
  <si>
    <t>Exclusive | Inside Exxonâ€™s Strategy to Downplay Climate Change - WSJ</t>
  </si>
  <si>
    <t>https://news.google.com/rss/articles/CBMihgFBVV95cUxPNDg2dFdJempzZTlUbzlLeWlqRnNFQ0hyUUFlckdmLXhrR293UktYVkNFOVVOTnU1RTVHMV9aR2xrZDk0dEtQRlA0N3dlWXpqbDVSeWwtbURZSnpWUFAzMUpGNFpDZlNQZDU1NTRYVkJuTmpyXzFJcUJhbVhqenFPa0hNRWdIUQ?oc=5</t>
  </si>
  <si>
    <t>The sentiment is 'bearish' because the article's exposure of Exxon's alleged climate change downplaying strategy could lead to increased scrutiny, regulatory pressure, and reputational damage, ultimately negatively impacting the company's stock price and the broader oil industry.</t>
  </si>
  <si>
    <t>Why oil is back to $90 a barrel</t>
  </si>
  <si>
    <t>https://www.ft.com/content/51871e72-4e46-4eab-afb6-e29cf5249300</t>
  </si>
  <si>
    <t>The sentiment is 'bullish' because the headline implies that the price of oil has rebounded to a level that indicates a strong demand and potentially tight supply, which is a positive outlook for oil producers and investors.</t>
  </si>
  <si>
    <t>Brent Could Touch $100, But Big Move Up Has Happened: Sen</t>
  </si>
  <si>
    <t>https://www.bloomberg.com/news/videos/2023-09-08/brent-could-touch-100-but-big-move-has-happened-sen-video</t>
  </si>
  <si>
    <t>The sentiment is 'bullish' because the headline suggests that the Brent crude oil price has already made a significant move up and is expected to potentially reach $100, implying a continued upward trajectory in the near term.</t>
  </si>
  <si>
    <t>Oil Surges to $90 After Saudi Arabia and Russia Prolong Cuts</t>
  </si>
  <si>
    <t>https://www.bloomberg.com/news/articles/2023-09-04/latest-oil-market-news-and-analysis-for-sept-5</t>
  </si>
  <si>
    <t>The sentiment is 'bullish' because the extension of production cuts by Saudi Arabia and Russia, two of the world's largest oil producers, will likely reduce the global oil supply and boost prices, which would benefit oil producers and investors.</t>
  </si>
  <si>
    <t>Oil hits $90 for first time in 2023 as Saudi Arabia and Russia extend cuts</t>
  </si>
  <si>
    <t>https://www.ft.com/content/4d95aaaf-0186-4541-8926-525ec5ed5cdb</t>
  </si>
  <si>
    <t>The sentiment is 'bullish' because the extension of production cuts by Saudi Arabia and Russia, two of the world's largest oil producers, is likely to reduce global oil supply and support higher prices, which is a positive development for oil bulls.</t>
  </si>
  <si>
    <t>Brent Oil Hits $90 a Barrel After OPEC+ Extends Supply Curbs</t>
  </si>
  <si>
    <t>https://www.bloomberg.com/news/articles/2023-09-05/brent-oil-hits-90-a-barrel-after-opec-extends-supply-curbs</t>
  </si>
  <si>
    <t>The sentiment is 'bullish' because the extension of supply curbs by OPEC+ is likely to reduce the global oil supply, thus supporting prices and pushing them higher, which is a positive development for oil producers and investors.</t>
  </si>
  <si>
    <t>Canadaâ€™s Economy Unexpectedly Shrinks, Supporting Rate Pause</t>
  </si>
  <si>
    <t>https://www.bloomberg.com/news/articles/2023-09-01/canada-economy-slows-sharply-supporting-rate-pause</t>
  </si>
  <si>
    <t>The sentiment is 'bearish' because a shrinking economy typically leads to decreased demand for commodities like oil, which could negatively impact oil prices and the overall oil market.</t>
  </si>
  <si>
    <t xml:space="preserve">An â€˜embarrassingly simpleâ€™ solution for industrial emissions </t>
  </si>
  <si>
    <t>https://www.ft.com/content/7c6a0928-a233-4444-b294-297006270141</t>
  </si>
  <si>
    <t>The sentiment is 'bearish' because the implication of a simple solution for industrial emissions could lead to a decrease in demand for fossil fuels, ultimately putting downward pressure on oil prices.</t>
  </si>
  <si>
    <t>The Crude Truth Is Oilâ€™s Not What It Used To Be</t>
  </si>
  <si>
    <t>https://www.bloomberg.com/opinion/articles/2023-08-14/oil-demand-crude-truth-is-peaks-aren-t-what-they-used-to-be</t>
  </si>
  <si>
    <t>The sentiment is 'bearish' because the headline suggests that oil's quality or characteristics have degraded, implying a decline in its value or usefulness, which could negatively impact oil prices and the overall oil market.</t>
  </si>
  <si>
    <t>Russia exploits billion-dollar oil cap loophole</t>
  </si>
  <si>
    <t>https://www.ft.com/content/7c6998aa-a0d9-4ba7-9e35-e291978ca4d6</t>
  </si>
  <si>
    <t>The sentiment is 'bearish' because the headline implies that Russia is finding ways to circumvent the oil cap, which could lead to increased oil supply and downward pressure on prices, ultimately negatively impacting the oil market.</t>
  </si>
  <si>
    <t>Oil benchmark Brent's price structure reflects tighter market</t>
  </si>
  <si>
    <t>https://www.reuters.com/markets/commodities/oil-benchmark-brents-price-structure-reflects-tighter-market-2023-08-10/</t>
  </si>
  <si>
    <t>The sentiment is 'bullish' because the phrase "tighter market" implies a reduction in supply or an increase in demand, which would naturally lead to higher prices and a more supportive price structure for oil.</t>
  </si>
  <si>
    <t>Oil-Refining Leftover Is More Expensive Than Crude in Tight Fuel Market</t>
  </si>
  <si>
    <t>https://www.bloomberg.com/news/articles/2023-08-10/refining-leftover-costs-more-than-crude-in-tight-fuel-market</t>
  </si>
  <si>
    <t>The sentiment is 'bullish' because the fact that oil-refining leftovers are more expensive than crude oil suggests that there is strong demand for refined products, which could lead to higher prices and profits for refiners, thereby benefiting the industry as a whole.</t>
  </si>
  <si>
    <t>My Personal Oil Price Shock â€” Olive Oil, That Is</t>
  </si>
  <si>
    <t>https://www.bloomberg.com/opinion/articles/2023-08-09/olive-oil-prices-surge-putting-europe-on-a-slippery-slope</t>
  </si>
  <si>
    <t>The sentiment is 'unrelated' because the headline is discussing olive oil, which is a type of edible oil, and has no connection to the crude oil market, which is the focus of oil market analysis.</t>
  </si>
  <si>
    <t>Russia and China Sent Large Naval Patrol Near Alaska</t>
  </si>
  <si>
    <t>https://www.wsj.com/articles/russia-and-china-sent-large-naval-patrol-near-alaska-127de28b</t>
  </si>
  <si>
    <t>The sentiment is not 'bullish' because a increased naval presence near Alaska, a key oil-producing region, could potentially disrupt oil shipments and increase tensions, leading to higher oil prices due to supply concerns, which would be bearish for the market.</t>
  </si>
  <si>
    <t>Biggest Oil ETF Sees Record Cash Withdrawal as Crude Tops $80</t>
  </si>
  <si>
    <t>https://www.bloomberg.com/news/articles/2023-07-31/biggest-oil-etf-sees-record-cash-withdrawal-as-crude-tops-80</t>
  </si>
  <si>
    <t>The sentiment is 'bearish' because a record cash withdrawal from the biggest oil ETF suggests that investors are losing confidence in the oil market's ability to sustain its recent price gains, implying a potential downturn in prices.</t>
  </si>
  <si>
    <t>Oil settles above April peak on tighter supply</t>
  </si>
  <si>
    <t>https://www.google.com/url?sa=t&amp;rct=j&amp;q=&amp;esrc=s&amp;source=newssearch&amp;cd=&amp;ved=2ahUKEwjQ2orMqJCNAxUOyzgGHaGUK604yAEQxfQBKAB6BAgKEAE&amp;url=https%3A%2F%2Fwww.reuters.com%2Fbusiness%2Fenergy%2Foil-up-supply-tightness-view-offsets-concerns-rate-hikes-2023-07-27%2F&amp;usg=AOvVaw3yxXYYh7bx5rEXwoac2mt8&amp;opi=89978449</t>
  </si>
  <si>
    <t>The sentiment is 'bullish' because the phrase "tighter supply" implies a reduction in the availability of oil, which would typically lead to higher prices, supporting a bullish outlook.</t>
  </si>
  <si>
    <t>Brent Crude - Oil testing the 200DMA for the first time since last summer</t>
  </si>
  <si>
    <t>https://www.marketpulse.com/news/brent-crude-oil-testing-the-200dma-for-the-first-time-since-last-summer/</t>
  </si>
  <si>
    <t>The sentiment is 'neutral/uncertain' because the headline simply states a fact about the oil price testing a key technical level without expressing a clear opinion or bias about the future direction of the market, leaving the reader to interpret the implications of this event.</t>
  </si>
  <si>
    <t>Americaâ€™s Rise as an Energy Export Powerhouse Hinges on One Town - WSJ</t>
  </si>
  <si>
    <t>https://news.google.com/rss/articles/CBMiogFBVV95cUxPU1UxZHNONWFTRnlkakp4X0FkS09XQmVtNTBqTmxYRnlKZEs1UjVzbE1YY2lMUG50QzAyc0lIS2p5b2N2WGJEYm9Db3RJTC1IdWxJQlhOZzFleHI1dldfUm1sd2NlYWVpTVd4VVFHeXlFNXFBSklqQzI2S2xfMDM1bXJMdjlHRFBzZjRXalVhTnNIcmlOV2ZTTmFhTjEwWmFlN3c?oc=5</t>
  </si>
  <si>
    <t>The sentiment is 'bullish' because the headline suggests that America's emergence as a major energy exporter is dependent on a single town, implying a significant concentration of resources and infrastructure that could lead to a substantial increase in energy exports.</t>
  </si>
  <si>
    <t>Oil Holds Near $80 as US Stockpile Drop Offsets Demand Worries</t>
  </si>
  <si>
    <t>https://www.google.com/url?sa=t&amp;rct=j&amp;q=&amp;esrc=s&amp;source=newssearch&amp;cd=&amp;ved=2ahUKEwislYOuxpeMAxV5ZWwGHZSqOPs40gEQxfQBKAB6BAgOEAE&amp;url=https%3A%2F%2Fwww.bloomberg.com%2Fnews%2Farticles%2F2023-07-20%2Flatest-oil-market-news-and-analysis-for-july-20&amp;usg=AOvVaw22DobQr2ASSdBmINeZPCAX&amp;opi=89978449</t>
  </si>
  <si>
    <t>The sentiment is 'unrelated' because the headline simply reports on the current state of the oil market, providing neutral information about the price and factors influencing it, without expressing a positive, negative, or emotional tone.</t>
  </si>
  <si>
    <t>China imports record volumes of Russian oil in first half of 2023</t>
  </si>
  <si>
    <t>https://www.ft.com/content/dd0a0026-0972-45ed-9e62-1f0ea6c0ec58</t>
  </si>
  <si>
    <t>The sentiment is 'bullish' because increased imports of Russian oil by China suggest strong demand from the world's largest crude oil importer, which could support higher oil prices and benefit oil producers.</t>
  </si>
  <si>
    <t>Oil prices up 3% to 9-week high on supply concerns</t>
  </si>
  <si>
    <t>https://www.reuters.com/business/energy/oil-prices-steady-rate-hike-fears-offset-signs-tightening-supply-2023-07-07/</t>
  </si>
  <si>
    <t>The sentiment is 'bullish' because the 3% price increase to a 9-week high suggests a strong upward momentum driven by supply concerns, indicating that market participants are willing to pay a premium for oil due to perceived scarcity, which is a classic characteristic of a bullish market.</t>
  </si>
  <si>
    <t>Author, entrepreneur lists Dublin condo for $2.6 million</t>
  </si>
  <si>
    <t>https://www.dispatch.com/story/business/real-estate/2023/07/05/two-story-bridge-park-condo-with-nearly-4000-square-feet-hits-market/70373653007/</t>
  </si>
  <si>
    <t>The sentiment is 'unrelated' because the article is reporting on a real estate listing and has no connection to the oil market, making it irrelevant to my area of expertise as an oil market analyst.</t>
  </si>
  <si>
    <t>US crude oil gains on supply cuts, focus shifts to holiday demand</t>
  </si>
  <si>
    <t>https://www.reuters.com/business/energy/oil-prices-ease-worries-over-global-economic-slowdown-weigh-2023-07-05/</t>
  </si>
  <si>
    <t>The sentiment is 'bullish' because the mention of supply cuts and shifting focus to holiday demand implies a potential increase in oil prices due to reduced supply and potential increased consumption during the holiday season.</t>
  </si>
  <si>
    <t>Meta to Block News on Facebook, Instagram in Canada Over New Law</t>
  </si>
  <si>
    <t>https://www.bloomberg.com/news/articles/2023-06-22/canada-passes-law-forcing-meta-alphabet-to-pay-news-publishers</t>
  </si>
  <si>
    <t>The sentiment is 'unrelated' because this headline about Meta's decision to block news on Facebook and Instagram in Canada due to a new law has no obvious connection to the oil market, and therefore, does not express a positive, negative, or neutral sentiment towards the oil market.</t>
  </si>
  <si>
    <t>Former FTX US President Taps Power of Artificial Intelligence in New Company</t>
  </si>
  <si>
    <t>https://www.bloomberg.com/news/articles/2023-06-20/former-ftx-us-president-brett-harrison-s-architect-plans-to-implement-ai</t>
  </si>
  <si>
    <t>The sentiment is 'unrelated' because the article about a former FTX US President using AI in a new company has no connection or relevance to the oil market, making it an unrelated topic.</t>
  </si>
  <si>
    <t>Oil Rises as Chinaâ€™s Stimulus Moves Stoke Bets on Higher Demand</t>
  </si>
  <si>
    <t>https://www.bloomberg.com/news/articles/2023-06-13/latest-oil-market-news-and-analysis-for-june-13</t>
  </si>
  <si>
    <t>The sentiment is 'bullish' because the headline suggests that China's stimulus moves are expected to increase demand for oil, which would likely lead to higher prices, a positive outlook for the oil market.</t>
  </si>
  <si>
    <t>Russian exports shift to ageing oil tankers to carry crude</t>
  </si>
  <si>
    <t>https://www.ft.com/content/f7adb227-5756-4f78-b33d-be9dbfc2649f</t>
  </si>
  <si>
    <t>The sentiment is 'bullish' because this shift to ageing oil tankers suggests that Russian oil exports are finding ways to maintain or even increase their output, defying expectations of a decline in production capacity.</t>
  </si>
  <si>
    <t xml:space="preserve">â€˜Prickly princeâ€™ bets on a crude price rally </t>
  </si>
  <si>
    <t>https://www.ft.com/content/a2785838-3a14-4958-9f95-6cfe01924ab5</t>
  </si>
  <si>
    <t>The sentiment is 'bullish' because the phrase 'bets on a crude price rally' implies that the prince is expecting and investing in a future increase in oil prices, which is a optimistic outlook on the market.</t>
  </si>
  <si>
    <t>Airbus Ended the A380 Years Ago. Its Biggest Buyer Remains a Fan</t>
  </si>
  <si>
    <t>https://www.bloomberg.com/news/articles/2023-06-06/airbus-ended-the-a380-years-ago-its-biggest-buyer-remains-a-fan</t>
  </si>
  <si>
    <t>The sentiment is 'unrelated' because the article appears to be discussing the aerospace industry, specifically Airbus and its A380 aircraft, which has no obvious connection to the oil market, making it an unrelated topic for an oil market analyst.</t>
  </si>
  <si>
    <t>Saudi Arabiaâ€™s â€˜prickly princeâ€™ of oil bristles as crude price slides</t>
  </si>
  <si>
    <t>https://www.ft.com/content/f144b153-840a-461f-ab2c-c1400c1171b5</t>
  </si>
  <si>
    <t>The sentiment is 'bearish' because the phrase "prickly prince" and "bristles" implies that the Saudi Arabian oil prince is unhappy and frustrated with the current crude price slide, which suggests that the author believes the price decline is a negative development.</t>
  </si>
  <si>
    <t>Move Over, Scotland. U.S. Oil Enters Worldâ€™s Most Important Benchmark.</t>
  </si>
  <si>
    <t>https://www.wsj.com/articles/move-over-scotland-u-s-oil-enters-worlds-most-important-benchmark-d7602b5f</t>
  </si>
  <si>
    <t>The sentiment is 'bullish' because this headline suggests that U.S. oil is gaining recognition and influence in the global market, potentially indicating a shift in the balance of power and increased demand for U.S. crude, which could lead to higher prices and a more favorable market environment.</t>
  </si>
  <si>
    <t>EU urged to crack down on imports of Indian fuels made with Russian oil</t>
  </si>
  <si>
    <t>https://www.ft.com/content/ebb851db-6ff6-4334-a47f-dd176b2adf2f</t>
  </si>
  <si>
    <t>The sentiment is not 'bullish' because a crackdown on Indian fuels made with Russian oil would likely lead to reduced global supply and potentially higher prices, which is generally a bearish scenario for the oil market.</t>
  </si>
  <si>
    <t>The 40-Year Story of a Crude Oil Benchmark</t>
  </si>
  <si>
    <t>https://www.cmegroup.com/openmarkets/energy/2023/the-40-year-story-of-a-crude-oil-benchmark.html</t>
  </si>
  <si>
    <t>The sentiment is 'unrelated' because the headline appears to be a neutral, factual summary of a historical topic, lacking any emotional tone or opinion that would suggest a positive, negative, or mixed sentiment.</t>
  </si>
  <si>
    <t>Oil climbs over 2% as recession fears begin to fade</t>
  </si>
  <si>
    <t>https://www.reuters.com/markets/commodities/oil-prices-inch-up-recession-fears-begin-fade-2023-05-08/</t>
  </si>
  <si>
    <t>The sentiment is 'bullish' because the phrase "recession fears begin to fade" implies a potential increase in economic activity and energy demand, which would support higher oil prices.</t>
  </si>
  <si>
    <t>Falling crude prices and recession fears bring US oil and gas rally to a halt</t>
  </si>
  <si>
    <t>https://www.ft.com/content/067a49c9-e068-4553-abba-33c7e4f9fe50</t>
  </si>
  <si>
    <t>The sentiment is 'bearish' because the headline suggests that the US oil and gas market is experiencing a downturn, specifically a halt to a previous rally, due to falling crude prices and recession fears, which are typically seen as negative indicators for the industry.</t>
  </si>
  <si>
    <t>Crude Oilâ€™s Dramatic Open Leaves Traders Puzzled After WTI Crashes</t>
  </si>
  <si>
    <t>https://www.bloomberg.com/news/articles/2023-05-04/crude-oil-s-dramatic-open-leaves-traders-puzzled-after-wti-crashes</t>
  </si>
  <si>
    <t>The sentiment is 'bearish' because the headline suggests a sudden and steep decline in WTI crude oil prices, which is typically indicative of a negative market outlook and would likely lead to a pessimistic reaction from traders and investors.</t>
  </si>
  <si>
    <t>US Crude Sets the Worldâ€™s Most Important Oil Benchmark for First Time</t>
  </si>
  <si>
    <t>https://www.bloomberg.com/news/articles/2023-05-04/us-oil-sets-the-world-s-most-important-benchmark-for-first-time</t>
  </si>
  <si>
    <t>The sentiment is 'bullish' because this milestone suggests that US crude has gained significant influence in the global oil market, potentially driving up demand and prices for US-based oil producers and exporters.</t>
  </si>
  <si>
    <t>Oil Steadies After Chaotic Opening Selloff Gives Way to Rebound</t>
  </si>
  <si>
    <t>https://www.bloomberg.com/news/articles/2023-05-03/oil-extends-plunge-in-early-asian-trading-on-recession-concerns</t>
  </si>
  <si>
    <t>The sentiment is 'unrelated' because the headline is simply reporting on the price action of oil without expressing a positive, negative, or neutral opinion about the event, focusing solely on describing the market movement without taking a stance or making a value judgment.</t>
  </si>
  <si>
    <t>Watch Pioneer's Dealy Sees WTI in $80-$100 Range Later This Year</t>
  </si>
  <si>
    <t>https://www.bloomberg.com/news/videos/2023-04-28/pioneer-s-dealy-sees-wti-at-80-100-later-this-year-video</t>
  </si>
  <si>
    <t>The sentiment is 'bullish' because the Dealy's forecast of WTI crude oil prices reaching $80-$100 later this year suggests a significant upside potential from current prices, indicating an optimistic outlook on the oil market.</t>
  </si>
  <si>
    <t>US crude to dominate Brent oil benchmark under index change</t>
  </si>
  <si>
    <t>https://www.reuters.com/markets/commodities/us-crude-dominate-brent-oil-benchmark-under-index-change-2023-04-26/</t>
  </si>
  <si>
    <t>The sentiment is 'bullish' because a shift in the benchmark to US crude would likely increase its global influence, boost its price, and benefit US oil producers, which is a positive development for the industry.</t>
  </si>
  <si>
    <t>Explainer: Will WTI Midland's inclusion in dated Brent affect oil markets?</t>
  </si>
  <si>
    <t>https://www.reuters.com/markets/commodities/will-wti-midlands-inclusion-dated-brent-affect-oil-markets-2023-04-26/</t>
  </si>
  <si>
    <t>The sentiment is 'unrelated' because the headline is simply posing a question about a potential market development and does not express a positive, negative, or neutral opinion about the topic, making it a neutral and informative headline rather than one with a emotional tone.</t>
  </si>
  <si>
    <t>OPEC+ cuts put $100/bbl oil back in sight</t>
  </si>
  <si>
    <t>https://www.reuters.com/business/energy/opec-cuts-tighten-mideast-crude-supply-asia-europe-cut-refiners-profits-2023-04-03/</t>
  </si>
  <si>
    <t>The sentiment is 'bullish' because the headline suggests that OPEC+ production cuts will lead to a surge in oil prices, potentially exceeding $100/bbl, which would be a significant upward movement and a positive development for oil producers and investors.</t>
  </si>
  <si>
    <t>Brent crude jumps $5/bbl after output cuts; stocks rise</t>
  </si>
  <si>
    <t>https://www.reuters.com/markets/global-markets-wrapup-2-pix-2023-04-03/</t>
  </si>
  <si>
    <t>The sentiment is 'bullish' because the headline suggests that the price of Brent crude oil has surged $5 per barrel, which is a significant increase, and is accompanied by a rise in stocks, indicating a positive market outlook.</t>
  </si>
  <si>
    <t>Exclusive: Russia shifts to Dubai benchmark in Indian oil deal - sources</t>
  </si>
  <si>
    <t>https://www.reuters.com/business/energy/russia-shifts-dubai-benchmark-indian-oil-deal-sources-2023-04-03/</t>
  </si>
  <si>
    <t>The sentiment is 'bearish' because the shift to a Dubai benchmark, which is often considered a more expensive and volatile price marker, could increase the cost of Indian oil imports and put upward pressure on global oil prices, potentially weighing on oil demand and prices.</t>
  </si>
  <si>
    <t>Goldman Sachs raises Brent oil price forecasts after OPEC+ output cuts</t>
  </si>
  <si>
    <t>https://www.reuters.com/business/energy/goldman-sachs-raises-brent-oil-price-forecasts-after-opecs-surprise-output-cuts-2023-04-02/</t>
  </si>
  <si>
    <t>The sentiment is 'bullish' because the OPEC+ output cuts are expected to reduce global oil supplies, thereby supporting higher prices, which is reflected in Goldman Sachs' raised Brent oil price forecasts.</t>
  </si>
  <si>
    <t>The Worldâ€™s Most Important Oil Price Is About to Change for Good</t>
  </si>
  <si>
    <t>https://www.bloomberg.com/news/articles/2023-03-30/the-world-s-most-important-oil-price-is-about-to-change-for-good</t>
  </si>
  <si>
    <t>The sentiment is 'bullish' because the phrase "About to Change for Good" implies a positive, sustained shift in the oil price, suggesting an upward trend or improvement in the market, which is typically associated with a bullish outlook.</t>
  </si>
  <si>
    <t>Saudi Aramco strengthens China ties with two refinery deals</t>
  </si>
  <si>
    <t>https://www.ft.com/content/9e091abb-9463-4f7c-a78f-1b95d0e1130b</t>
  </si>
  <si>
    <t>The sentiment is 'bullish' because the deal suggests increased investment and partnership in the Chinese refining sector, implying potential growth opportunities and revenue streams for Saudi Aramco, which could positively impact the company's stock price and overall market outlook.</t>
  </si>
  <si>
    <t>Two companies, one trade: the switch that keeps Putinâ€™s oil flowing</t>
  </si>
  <si>
    <t>https://www.ft.com/content/c99e8c04-ec5a-4e84-bae3-19fda48c661f</t>
  </si>
  <si>
    <t>The sentiment is 'bullish' because the headline suggests that despite sanctions and geopolitical tensions, Putin's oil is still flowing, implying that oil supply is not being disrupted, which is a positive signal for the oil market.</t>
  </si>
  <si>
    <t>Oil Sinks in Volatile Trading as Bank Failure Sparks Selling</t>
  </si>
  <si>
    <t>https://www.bloomberg.com/news/articles/2023-03-13/brent-oil-drops-below-80-as-svb-failure-deepens-turbulence</t>
  </si>
  <si>
    <t>The sentiment is 'bearish' because the headline suggests that oil prices are falling due to selling pressure sparked by a bank failure, implying a negative market sentiment driven by concerns about the broader economy and financial stability.</t>
  </si>
  <si>
    <t>Saudi Aramco posts record $161bn profit on back of strong crude prices</t>
  </si>
  <si>
    <t>https://www.ft.com/content/6a2a9d07-a0da-4a82-8ca1-0fba954934af</t>
  </si>
  <si>
    <t>The sentiment is 'bullish' because the record profit of Saudi Aramco, driven by strong crude prices, suggests a favorable market environment for oil producers and potentially signals a continued upward trend in oil prices.</t>
  </si>
  <si>
    <t>Articles by Brent Weiss, CFPÂ®, ChFC</t>
  </si>
  <si>
    <t>https://www.kiplinger.com/author/brent-weiss-cfp-chfc</t>
  </si>
  <si>
    <t>The sentiment is 'unrelated' because the headline appears to be a byline or author credit, providing the name and credentials of the writer, Brent Weiss, which does not convey a positive, negative, or neutral sentiment related to the oil market or any other specific topic.</t>
  </si>
  <si>
    <t>Saudi Arabia Raises Oil Prices for Asia and Europe for April</t>
  </si>
  <si>
    <t>https://www.bloomberg.com/news/articles/2023-03-05/saudi-arabia-raises-oil-prices-for-asia-and-europe-for-april</t>
  </si>
  <si>
    <t>The sentiment is 'bullish' because higher oil prices typically indicate a stronger demand outlook, increased market confidence, and higher revenues for oil producers, which in this case would benefit Saudi Arabia and other oil-exporting countries.</t>
  </si>
  <si>
    <t>Oil Prices Drop after Report on UAE Debating OPEC Exit</t>
  </si>
  <si>
    <t>https://www.oedigital.com/news/503362-oil-prices-drop-after-report-on-uae-debating-opec-exit</t>
  </si>
  <si>
    <t>The sentiment is 'bearish' because a potential exit from OPEC by the UAE could lead to an increase in oil production and thus a surplus in the market, putting downward pressure on prices.</t>
  </si>
  <si>
    <t>Taiwan To Give Tourists $82 Million in Perks to Aid Economy</t>
  </si>
  <si>
    <t>https://www.bloomberg.com/news/articles/2023-02-23/taiwan-will-give-tourists-perks-worth-165-each-to-boost-economy</t>
  </si>
  <si>
    <t>The sentiment is 'unrelated' because this headline is about tourism and economic stimulus in Taiwan, which has no direct connection to the oil market, making it an unrelated topic from an oil market analyst's perspective.</t>
  </si>
  <si>
    <t>Focus: ChatGPT launches boom in AI-written e-books on Amazon</t>
  </si>
  <si>
    <t>https://www.reuters.com/technology/chatgpt-launches-boom-ai-written-e-books-amazon-2023-02-21/</t>
  </si>
  <si>
    <t>The sentiment is 'unrelated' because the headline about ChatGPT and AI-written e-books on Amazon has no direct connection or impact on the oil market, making it irrelevant to my area of expertise as an oil market analyst.</t>
  </si>
  <si>
    <t>Brent Saunders to return as Bausch + Lomb CEO</t>
  </si>
  <si>
    <t>https://www.google.com/url?sa=t&amp;rct=j&amp;q=&amp;esrc=s&amp;source=newssearch&amp;cd=&amp;ved=2ahUKEwinvY6MqpCNAxWozDgGHcFKPKw43AEQxfQBKAB6BAgIEAE&amp;url=https%3A%2F%2Fwww.reuters.com%2Fbusiness%2Fbausch-lomb-name-brent-saunders-ceo-wsj-2023-02-15%2F&amp;usg=AOvVaw0zhHSKIxAHVOS6Qn4eliCu&amp;opi=89978449</t>
  </si>
  <si>
    <t>The sentiment is 'unrelated' because Brent Saunders is the CEO of Bausch + Lomb, a pharmaceutical company, and has no direct connection to the oil market, making this headline irrelevant to oil market analysis.</t>
  </si>
  <si>
    <t>Exclusive | Eye-Care Company Bausch + Lomb Names Brent Saunders CEO</t>
  </si>
  <si>
    <t>https://www.wsj.com/articles/eye-care-company-bausch-lomb-to-name-brent-saunders-ceo-e7eb0876</t>
  </si>
  <si>
    <t>The sentiment is 'unrelated' because the headline about the appointment of a CEO at an eye-care company has no discernible connection to the oil market, and thus is not relevant to oil market analysis.</t>
  </si>
  <si>
    <t>Israelâ€™s first crude oil exports to start from Energean project</t>
  </si>
  <si>
    <t>https://www.ft.com/content/48fd85f5-9730-4339-b532-b91057ce533d</t>
  </si>
  <si>
    <t>The sentiment is 'bullish' because the start of Israel's first crude oil exports from the Energean project signals a new source of supply in the global market, which could lead to increased competition and potentially put downward pressure on oil prices, benefiting consumers and economies that rely heavily on oil imports.</t>
  </si>
  <si>
    <t>Australiaâ€™s House Prices Set to Plunge 15% in 2023, Jarden Says</t>
  </si>
  <si>
    <t>https://www.bloomberg.com/news/articles/2023-02-09/australia-s-house-prices-set-to-plunge-15-in-2023-jarden-says</t>
  </si>
  <si>
    <t>The sentiment is 'bearish' because a 15% decline in house prices would likely have a significant negative impact on consumer spending and overall economic growth, which could lead to a decrease in economic activity and subsequently reduce demand for oil, a key indicator of a bearish market outlook.</t>
  </si>
  <si>
    <t>Iranâ€™s â€˜ghost fleetâ€™ switches into Russian oil</t>
  </si>
  <si>
    <t>https://www.ft.com/content/955389bf-d01b-4acb-bd15-b764425a8a18</t>
  </si>
  <si>
    <t>The sentiment is 'bullish' because the headline suggests that Iran's "ghost fleet" is finding a new market for its oil, which could lead to increased oil supply and potentially higher revenues for Iran, thus supporting oil prices.</t>
  </si>
  <si>
    <t>Russia may switch to Brent-based oil taxes - Kommersant</t>
  </si>
  <si>
    <t>https://www.reuters.com/business/energy/russia-may-switch-brent-based-oil-taxes-kommersant-2023-02-03/</t>
  </si>
  <si>
    <t>The sentiment is 'bearish' because a switch to Brent-based oil taxes could lead to higher tax bills for Russian oil producers, negatively impacting their profit margins and potentially reducing their production and investment in the industry.</t>
  </si>
  <si>
    <t>Samsung's Power Move Imperils Fellow Memory Makers</t>
  </si>
  <si>
    <t>https://www.google.com/url?sa=t&amp;rct=j&amp;q=&amp;esrc=s&amp;source=newssearch&amp;cd=&amp;ved=2ahUKEwiT5e_SyJeMAxWRSWwGHcVTHsM45gEQxfQBKAB6BAgKEAE&amp;url=https%3A%2F%2Fwww.bloomberg.com%2Fnews%2Fnewsletters%2F2023-01-31%2Fsamsung-s-power-move-imperils-fellow-memory-makers&amp;usg=AOvVaw3p7L6cnthBuiLghEb3i0g0&amp;opi=89978449</t>
  </si>
  <si>
    <t>The sentiment is 'unrelated' because the headline appears to be discussing the technology industry, specifically Samsung and memory makers, which has no apparent connection to the oil market.</t>
  </si>
  <si>
    <t>US jobs boom in the â€˜busiest spot in the busiest oilfieldâ€™</t>
  </si>
  <si>
    <t>https://www.ft.com/content/ce6d6cb3-d9bc-4571-b0a3-714f95599a10</t>
  </si>
  <si>
    <t>The sentiment is 'bullish' because the headline suggests a strong demand for labor in the oilfield, implying a thriving oil industry with robust production and economic activity, which is typically associated with increasing oil prices and a positive outlook for the sector.</t>
  </si>
  <si>
    <t>Oil Refining Margins Are Sounding the Alarm, Again</t>
  </si>
  <si>
    <t>https://www.bloomberg.com/opinion/articles/2023-01-24/oil-refining-margins-are-sounding-the-alarm-again</t>
  </si>
  <si>
    <t>The sentiment is 'bearish' because the phrase "sounding the alarm" implies a sense of warning or distress, suggesting that oil refining margins are experiencing difficulties, which could negatively impact the entire oil industry.</t>
  </si>
  <si>
    <t>Oil price cap and falling cost of crude worry Kremlin</t>
  </si>
  <si>
    <t>https://www.ft.com/content/8a5f4681-9592-469f-b223-a939dcbbf3f3</t>
  </si>
  <si>
    <t>The sentiment is 'bearish' because a price cap on oil and declining crude costs would likely reduce Russia's revenue from oil exports, which is a significant contributor to the country's economy, leading to potential economic downturn or instability.</t>
  </si>
  <si>
    <t>Oil prices expected to average around $90 in 2023-2027</t>
  </si>
  <si>
    <t>https://www.reuters.com/markets/commodities/oil-prices-expected-average-around-90-2023-2027-kemp-2023-01-13/</t>
  </si>
  <si>
    <t>The sentiment is 'bullish' because a prediction of oil prices averaging around $90 in the next five years suggests a strong and sustained upward trend, implying a favorable outlook for oil producers and investors.</t>
  </si>
  <si>
    <t>Russiaâ€™s Flagship Oil Is Trading at Half Global Prices With Tiny Pool of Buyers</t>
  </si>
  <si>
    <t>https://www.bloomberg.com/news/articles/2023-01-09/russia-s-flagship-oil-is-trading-at-half-global-prices-with-tiny-pool-of-buyers</t>
  </si>
  <si>
    <t>The sentiment is 'bearish' because the headline suggests that Russia's flagship oil is struggling to find buyers and is therefore trading at a significant discount to global prices, implying a surplus of supply and weak demand, which is typically a bearish indicator for the oil market.</t>
  </si>
  <si>
    <t>Appleâ€™s IPhone Exports from India Double to Surpass $2.5 Billion</t>
  </si>
  <si>
    <t>https://www.bloomberg.com/news/articles/2023-01-09/iphone-exports-from-india-double-to-surpass-2-5-billion</t>
  </si>
  <si>
    <t>The sentiment is 'unrelated' because the headline about Apple's iPhone exports from India has no apparent connection to the oil market, and therefore does not convey any information that would impact the analysis or prediction of oil prices.</t>
  </si>
  <si>
    <t>Oilâ€™s Slump Deepens as Near-Term Weakness Overtakes Market</t>
  </si>
  <si>
    <t>https://www.bloomberg.com/news/articles/2023-01-03/oil-holds-steep-decline-as-demand-concerns-pushed-to-the-fore</t>
  </si>
  <si>
    <t>The sentiment is 'bearish' because the headline explicitly states that near-term weakness is dominating the market, implying a downward pressure on oil prices, which is a classic characteristic of a bearish market sentiment.</t>
  </si>
  <si>
    <t>Biden, McConnell Kentucky event is a roadmap for White House under new Congress</t>
  </si>
  <si>
    <t>https://www.reuters.com/world/us/biden-mcconnell-visit-kentucky-bridge-roadmap-white-house-under-split-congress-2023-01-04/</t>
  </si>
  <si>
    <t>The sentiment is 'unrelated' because the headline appears to discuss a political event between President Biden and Senator McConnell in Kentucky, which has no obvious connection to the oil market or energy sector, making it an unrelated topic.</t>
  </si>
  <si>
    <t>Appleâ€™s Slide Topples Last Stock in $2 Trillion Club</t>
  </si>
  <si>
    <t>https://www.bloomberg.com/news/articles/2023-01-03/apple-stock-slide-topples-it-from-2-trillion-value-club</t>
  </si>
  <si>
    <t>The sentiment is 'unrelated' because the headline is discussing Apple's stock performance and the $2 trillion club, which has no apparent connection to the oil market, making it an unrelated topic for an oil market analyst.</t>
  </si>
  <si>
    <t>What the end of the US shale revolution would mean for the world</t>
  </si>
  <si>
    <t>https://www.ft.com/content/60747b3b-e6ea-47c0-938d-af515816d0f1</t>
  </si>
  <si>
    <t>The sentiment is not 'bullish' because the end of the US shale revolution would likely lead to reduced oil supplies, higher prices, and increased market volatility, ultimately benefiting OPEC and other oil producers at the expense of consuming nations.</t>
  </si>
  <si>
    <t>Economic weakness set to weigh on oil price in 2023: Reuters poll</t>
  </si>
  <si>
    <t>https://www.reuters.com/business/energy/economic-weakness-set-weigh-oil-price-2023-2022-12-30/</t>
  </si>
  <si>
    <t>The sentiment is 'bearish' because the headline suggests that economic weakness will put downward pressure on oil prices, implying a negative outlook for the oil market in 2023.</t>
  </si>
  <si>
    <t>Apple Shares Hit Lowest Since June 2021 on iPhone Supply Concerns</t>
  </si>
  <si>
    <t>https://www.bloomberg.com/news/articles/2022-12-27/apple-stock-touches-lowest-since-june-2021-as-iphone-concerns-persist</t>
  </si>
  <si>
    <t>The sentiment is 'unrelated' because the headline specifically addresses concerns about Apple's share price and iPhone supply, which has no direct connection to the oil market, making it an unrelated news event from an oil market analyst's perspective.</t>
  </si>
  <si>
    <t>Vladimir Putin threatens to cut oil output after G7 price cap</t>
  </si>
  <si>
    <t>https://www.ft.com/content/6b9ee501-ce75-4f2a-adeb-c30ccf0093e3</t>
  </si>
  <si>
    <t>The sentiment is 'bullish' because a threatened cut in oil output by Russia, one of the world's largest producers, could lead to reduced global supply and consequently higher prices, which would benefit oil bulls.</t>
  </si>
  <si>
    <t>How the G7â€™s oil price cap blocked the Bosphorus</t>
  </si>
  <si>
    <t>https://www.ft.com/content/dc40a88f-7d20-4a17-a37c-332f35b65942</t>
  </si>
  <si>
    <t>The sentiment is 'bullish' because the headline suggests that the G7's oil price cap has effectively restricted Russian oil exports, which could lead to tighter global supply and higher prices, benefiting oil producers and bullish market participants.</t>
  </si>
  <si>
    <t>Brent crude oil falls below $80 for first time since January</t>
  </si>
  <si>
    <t>https://www.ft.com/content/b7ca0ac8-b937-4010-9104-c690d3a4c8ce</t>
  </si>
  <si>
    <t>The sentiment is 'bearish' because a decline in oil prices, particularly a break below a significant psychological level like $80, typically indicates a bearish outlook as it may suggest weakening demand, oversupply, or a shift in market sentiment away from bullish fundamentals.</t>
  </si>
  <si>
    <t>U.S. crude turns positive, Brent pares losses on OPEC+ cut rumors</t>
  </si>
  <si>
    <t>https://www.reuters.com/markets/commodities/oil-drops-more-than-1-chinas-covid-protests-fuel-demand-worries-2022-11-28/</t>
  </si>
  <si>
    <t>The sentiment is 'bullish' because the headline suggests that crude oil prices are rising (turning positive) and losses are being pared (reduced) due to rumors of OPEC+ production cuts, which would reduce global supply and support higher prices.</t>
  </si>
  <si>
    <t>What happened to the crude oil price and how does it affect Pakistan?</t>
  </si>
  <si>
    <t>https://profit.pakistantoday.com.pk/2022/11/22/what-happened-to-the-crude-oil-price-and-how-does-it-affect-pakistan/</t>
  </si>
  <si>
    <t>The sentiment is 'bearish' because the headline implies that the crude oil price has fallen or is falling, which would likely have a negative impact on oil exporters and potentially lead to economic difficulties for countries that rely heavily on oil exports, such as Pakistan.</t>
  </si>
  <si>
    <t>Saudi Arabiaâ€™s green agenda: renewables at home, oil abroad</t>
  </si>
  <si>
    <t>https://www.ft.com/content/3fba03c9-9326-4d7c-bd0c-74fdf2b2ebf8</t>
  </si>
  <si>
    <t>The sentiment is 'bearish' because the headline suggests that Saudi Arabia is actively pursuing a dual strategy of investing in renewable energy domestically while continuing to focus on oil exports, which could lead to a decline in global oil demand and negatively impact oil prices.</t>
  </si>
  <si>
    <t>Appleâ€™s $191 Billion Single-Day Surge Sets Stock-Market Record</t>
  </si>
  <si>
    <t>https://www.bloomberg.com/news/articles/2022-11-10/apple-s-191-billion-single-day-surge-sets-stock-market-record</t>
  </si>
  <si>
    <t>The sentiment is 'unrelated' because this headline is focused on Apple's stock performance and has no apparent connection to the oil market, making it an unrelated news item from the perspective of an oil market analyst.</t>
  </si>
  <si>
    <t>Letter: The difference between co-founder status and the CEO role</t>
  </si>
  <si>
    <t>https://www.ft.com/content/d2280fb4-deee-4e83-9112-8f171a71a4c8</t>
  </si>
  <si>
    <t>The sentiment is 'unrelated' because this headline appears to be discussing entrepreneurship, leadership, and organizational structure, which has no obvious connection to the oil market or energy industry, making it an unrelated topic to my area of expertise.</t>
  </si>
  <si>
    <t>Bloomberg Commodity Index 2023 Target Weights Announced | Press | Bloomberg LP</t>
  </si>
  <si>
    <t>https://www.bloomberg.com/company/press/bloomberg-commodity-index-2023-target-weights-announced/</t>
  </si>
  <si>
    <t>The sentiment is 'unrelated' because the headline appears to announce a general market index update, without providing any specific information or insights related to the oil market, making it unrelated to oil market analysis.</t>
  </si>
  <si>
    <t>BlackRock and Vanguard tell UK inquiry they will not quit fossil fuel investments</t>
  </si>
  <si>
    <t>https://www.ft.com/content/d586a16e-4f5e-4fff-8610-ade4dd2badda</t>
  </si>
  <si>
    <t>The sentiment is 'bullish' because the news suggests that two of the world's largest investors will continue to support the fossil fuel industry, which could lead to increased investment and potentially higher prices for oil and gas companies.</t>
  </si>
  <si>
    <t>Oil prices fall more than 3% on recession worries</t>
  </si>
  <si>
    <t>https://www.reuters.com/business/energy/oil-slides-us-crude-gasoline-stocks-surge-2022-10-14/</t>
  </si>
  <si>
    <t>The sentiment is 'bearish' because a decline in oil prices is typically associated with reduced demand, which is often a symptom of a weakening economy, and the headline explicitly mentions "recession worries", reinforcing the notion that the market is concerned about a potential economic downturn.</t>
  </si>
  <si>
    <t>The WTI and Brent spot crude oil real prices. The figure plots the...</t>
  </si>
  <si>
    <t>https://www.researchgate.net/figure/The-WTI-and-Brent-spot-crude-oil-real-prices-The-figure-plots-the-monthly-spot-real_fig3_364191295</t>
  </si>
  <si>
    <t>The sentiment is 'neutral/uncertain' because the headline is purely descriptive, providing factual information about the WTI and Brent spot crude oil real prices without expressing any opinion, emotion, or bias, which is typical of neutral/uncertain sentiment.</t>
  </si>
  <si>
    <t>Sydney Looks to Amp Up Nightlife to Shed Sleepy Reputation</t>
  </si>
  <si>
    <t>https://www.bloomberg.com/news/articles/2022-09-30/sydney-looks-to-amp-up-nightlife-to-shed-sleepy-reputation</t>
  </si>
  <si>
    <t>The sentiment is 'unrelated' because the headline about Sydney's nightlife has no bearing or connection to the oil market, making it irrelevant to my area of expertise as an oil market analyst.</t>
  </si>
  <si>
    <t>Judge Rejects Antitrust Challenge to UnitedHealth Acquisition</t>
  </si>
  <si>
    <t>https://www.wsj.com/articles/judge-rejects-antitrust-challenge-to-unitedhealth-acquisition-11663627930</t>
  </si>
  <si>
    <t>The sentiment is 'unrelated' because this headline is about a healthcare company's acquisition and an antitrust challenge, which has no apparent connection to the oil market, making it irrelevant to my area of expertise as an oil market analyst.</t>
  </si>
  <si>
    <t>EU embargo to hit Russian oil output, says IEA</t>
  </si>
  <si>
    <t>https://www.ft.com/content/bbea83fa-8580-46e5-b2e4-118ef632d12b</t>
  </si>
  <si>
    <t>The sentiment is not 'bullish' because an EU embargo on Russian oil would likely lead to reduced global supply, higher prices, and a more volatile market, which would be bearish for oil prices, not bullish.</t>
  </si>
  <si>
    <t>WTI Oil Ends at a 4-Week-High Above $97</t>
  </si>
  <si>
    <t>https://www.wsj.com/business/energy-oil/oil-prices-mixed-europes-energy-crisis-in-focus-11661734110</t>
  </si>
  <si>
    <t>The sentiment is 'bullish' because the headline indicates a significant price increase, with WTI oil reaching a 4-week high, which suggests a strong upward trend in the market, fueling optimism among investors and traders.</t>
  </si>
  <si>
    <t>WTI Oil Falls But Ends the Week $3 Higher</t>
  </si>
  <si>
    <t>https://www.wsj.com/business/energy-oil/oil-prices-weaken-could-remain-supported-above-90-level-11660266539</t>
  </si>
  <si>
    <t>The sentiment is 'bullish' because despite reporting a decline in price, the overall weekly performance is positive, indicating a stronger upwards trend in the market.</t>
  </si>
  <si>
    <t>US Plastics Prices Seen Extending Decline in US as Glut Emerges</t>
  </si>
  <si>
    <t>https://www.bloomberg.com/news/articles/2022-08-11/us-plastics-prices-seen-extending-decline-in-us-as-glut-emerges</t>
  </si>
  <si>
    <t>The sentiment is 'bearish' because the emergence of a glut in the US plastics market implies a surplus of supply over demand, which typically puts downward pressure on prices, suggesting a decline in US plastics prices is likely to continue.</t>
  </si>
  <si>
    <t>Hungary oil group pays fee to restart flow of Russian oil through Ukraine</t>
  </si>
  <si>
    <t>https://www.ft.com/content/286bc482-2955-4cb3-a03b-fd9dabe0c796</t>
  </si>
  <si>
    <t>The sentiment is 'bullish' because the resumption of oil flows through Ukraine following the payment of a fee by the Hungarian oil group suggests a resolution to a supply disruption, which is likely to alleviate concerns about global oil availability and put downward pressure on prices.</t>
  </si>
  <si>
    <t>Oil Driller W&amp;T Offshore (WTI) Opens Internal Probe After Whistle-Blower Letter</t>
  </si>
  <si>
    <t>https://www.bloomberg.com/news/articles/2022-08-10/oil-driller-w-t-starts-internal-probe-after-whistleblower-letter</t>
  </si>
  <si>
    <t>The sentiment is 'bearish' because the announcement of an internal probe following a whistleblower letter suggests potential wrongdoing or irregularities within the company, which can lead to regulatory issues, financial penalties, and reputational damage, ultimately negatively impacting the company's stock performance and investor confidence.</t>
  </si>
  <si>
    <t>Oil Holds Gains as Traders Weigh Iran Talks, Demand Outlook</t>
  </si>
  <si>
    <t>https://www.bloomberg.com/news/articles/2022-08-08/oil-holds-gains-as-traders-weigh-iran-talks-demand-outlook</t>
  </si>
  <si>
    <t>The sentiment is 'unrelated' because the headline simply reports on the current state of the oil market, neutrally presenting two contrasting factors influencing prices, without expressing a positive, negative, or neutral emotional tone.</t>
  </si>
  <si>
    <t>The westâ€™s phantom energy sanctions fuel Russiaâ€™s war machine</t>
  </si>
  <si>
    <t>https://www.ft.com/content/e593ae2f-62c5-4d8a-8011-b18b6cdee5d0</t>
  </si>
  <si>
    <t>The sentiment is 'bearish' because the headline suggests that Western energy sanctions have been ineffective in curtailing Russia's oil exports, implying that the global oil supply is unlikely to be disrupted, which could lead to downward pressure on oil prices.</t>
  </si>
  <si>
    <t>Brent premium to U.S. crude hits widest in three years</t>
  </si>
  <si>
    <t>https://www.reuters.com/business/energy/brent-premium-wti-widest-since-mid-2019-2022-07-25/</t>
  </si>
  <si>
    <t>The sentiment is 'bullish' because a widening premium of Brent crude oil over U.S. crude suggests stronger demand for the international benchmark, which could be driven by improving global economic conditions, supply disruptions, or increased refining activity, all of which are positive indicators for the oil market.</t>
  </si>
  <si>
    <t>The madness of the oil market</t>
  </si>
  <si>
    <t>https://www.ft.com/content/2a2571f4-b4bc-4587-8028-b6084a07a827</t>
  </si>
  <si>
    <t>The sentiment is 'bearish' because the term "madness" implies a sense of chaos and unpredictability, which is often associated with market downturns and volatility, suggesting that the oil market is experiencing or is likely to experience a period of instability and potentially declining prices.</t>
  </si>
  <si>
    <t>Congo expands oil auction round after westâ€™s crude production push</t>
  </si>
  <si>
    <t>https://www.ft.com/content/5ea6f899-bb55-478f-a14a-a6dd37aae724</t>
  </si>
  <si>
    <t>The sentiment is 'bullish' because the expansion of the oil auction round in Congo suggests an increase in oil production, which could lead to higher global oil supplies and potentially drive up prices, benefiting oil producers and boosting the overall oil market.</t>
  </si>
  <si>
    <t>Jet Fuel Prices in India Cut as Brent Hovers Around $100 Barrel</t>
  </si>
  <si>
    <t>https://www.bloomberg.com/news/articles/2022-07-16/jet-fuel-prices-in-india-cut-as-brent-hovers-around-100-barrel</t>
  </si>
  <si>
    <t>The sentiment is 'bearish' because a decrease in jet fuel prices in India, driven by relatively stable Brent prices, indicates a reduction in costs for airlines and other consumers, which could lead to increased demand and potentially weigh on prices in the short term.</t>
  </si>
  <si>
    <t>Oil prices drop below $95 for first time since invasion of Ukraine</t>
  </si>
  <si>
    <t>https://www.ft.com/content/424fd3ff-28e2-448e-ab38-535a282526be</t>
  </si>
  <si>
    <t>The sentiment is 'bearish' because a drop in oil prices below a significant psychological level like $95 per barrel suggests a downturn in market fundamentals, potentially driven by increased supply, decreased demand, or a shift in market sentiment, which is typically associated with bearish market conditions.</t>
  </si>
  <si>
    <t>WTI Oil Ends At A 3-Month Low Below $96</t>
  </si>
  <si>
    <t>https://www.wsj.com/finance/currencies/oil-rises-in-possible-technical-rebound-11657762523</t>
  </si>
  <si>
    <t>The sentiment is 'bearish' because the headline indicates a decline in oil prices to a 3-month low, which is a negative development for oil producers and bullish investors, suggesting a downward trend in the market.</t>
  </si>
  <si>
    <t>Exclusive | Google Offers Concessions to Fend Off U.S. Antitrust Lawsuit</t>
  </si>
  <si>
    <t>https://www.wsj.com/tech/google-offers-concessions-to-fend-off-u-s-antitrust-lawsuit-11657296591</t>
  </si>
  <si>
    <t>The sentiment is 'unrelated' because the article's content, which revolves around Google's antitrust lawsuit and concessions, has no discernible connection to the oil market or industry, making it a non-relevant topic for an oil market analyst.</t>
  </si>
  <si>
    <t>Oil tumbles 9% on recession demand destruction fears</t>
  </si>
  <si>
    <t>https://www.reuters.com/business/energy/brent-up-strike-norway-threatens-disrupt-oil-gas-output-2022-07-05/</t>
  </si>
  <si>
    <t>The sentiment is 'bearish' because a 9% drop in oil prices suggests that market participants are worried about a decline in fuel demand as a result of a potential recession, which would lead to reduced energy consumption and ultimately lower oil prices.</t>
  </si>
  <si>
    <t>TikTok Confirms That Some China-Based Employees Can Access US User Data</t>
  </si>
  <si>
    <t>https://www.bloomberg.com/news/articles/2022-07-01/tiktok-says-some-china-based-employees-can-access-us-user-data</t>
  </si>
  <si>
    <t>The sentiment is 'unrelated' because the topic of TikTok's data access policies has no direct connection to the oil market, and therefore, does not convey a positive, negative, or neutral sentiment relevant to the oil market.</t>
  </si>
  <si>
    <t>G7 aims to hurt Russia with price cap on oil exports</t>
  </si>
  <si>
    <t>https://www.ft.com/content/ee090a48-5407-496f-b0e4-1fe78f37495d</t>
  </si>
  <si>
    <t>The sentiment is 'bearish' because a price cap on Russian oil exports is expected to reduce Russia's oil revenue, potentially disrupting global oil supply and leading to higher prices, which could negatively impact the economy and oil demand.</t>
  </si>
  <si>
    <t>Supreme Court Overturns Roe v. Wade, Eliminates Constitutional Right to Abortion - WSJ</t>
  </si>
  <si>
    <t>https://www.wsj.com/us-news/law/supreme-court-overturns-roe-v-wade-eliminates-constitutional-right-to-abortion-11656080124</t>
  </si>
  <si>
    <t>The sentiment is 'unrelated' because this headline about a significant US Supreme Court decision on abortion rights has no apparent connection to the oil market, and therefore, as an oil market analyst, it does not elicit a sentiment of positive, negative, or neutral towards the oil market.</t>
  </si>
  <si>
    <t>Ambaniâ€™s Reliance among Indian refiners targeting diesel exports using cheap Russian crude</t>
  </si>
  <si>
    <t>https://www.ft.com/content/2195e57f-f93f-4cd1-b9a2-dda2ca550c45</t>
  </si>
  <si>
    <t>The sentiment is 'bullish' because the headline suggests that Indian refiners, led by Reliance, are taking advantage of cheap Russian crude to increase their diesel exports, which could lead to increased revenue and profits for these companies.</t>
  </si>
  <si>
    <t>US energy envoy asks India to restrain Russian oil purchases</t>
  </si>
  <si>
    <t>https://www.ft.com/content/5285f212-5971-4711-867e-6a3693e7b2eb</t>
  </si>
  <si>
    <t>The sentiment is 'bearish' because the request by the US energy envoy to India to restrain Russian oil purchases could lead to a reduction in global oil demand, thereby putting downward pressure on oil prices.</t>
  </si>
  <si>
    <t>Barclays raises Brent forecasts on Russia oil sanctions</t>
  </si>
  <si>
    <t>https://www.reuters.com/markets/commodities/barclays-raises-brent-forecasts-russia-oil-sanctions-2022-06-06/</t>
  </si>
  <si>
    <t>The sentiment is 'bullish' because the headline implies that Barclays expects higher oil prices due to Russia oil sanctions, which would benefit oil producers and be positive for the energy sector as a whole.</t>
  </si>
  <si>
    <t>Oil settles shy of $120 a barrel on OPEC+ deal, Saudi pricing</t>
  </si>
  <si>
    <t>https://www.reuters.com/markets/commodities/oil-jumps-after-saudi-arabia-hikes-crude-prices-2022-06-05/</t>
  </si>
  <si>
    <t>The sentiment is 'bullish' because the headline suggests that OPEC+ has reached a deal, which typically implies a more restrained oil supply, while Saudi pricing indicates a possible increase in demand, both of which are factors that could support higher oil prices.</t>
  </si>
  <si>
    <t>Exclusive | Russian Oil Producers Stay One Step Ahead of Sanctions - WSJ</t>
  </si>
  <si>
    <t>https://news.google.com/rss/articles/CBMiqgFBVV95cUxNT2kteE5nS21lSHJqbEhTZU15MC1pckNGQlNKVHI1UnFhaHc1eHFGR01fMjBBaFZ3emtGR2dPZER6NHE1Z2t0N1ZEclp4V1hrdWJSLXFpLTNubWVmSzMxRHdlTHVLcUZybU5Va0FhUmpMUVUzYlYzb1FNS1hzVEZYTFVVZXdLR0FMUEVjTkRsdFJSdXlGeDhLNHptNkxDeEY1TFZnOE1WN0tDZw?oc=5</t>
  </si>
  <si>
    <t>The sentiment is 'bullish' because the headline suggests that Russian oil producers are finding ways to circumvent sanctions, implying that oil production and exports may not be as severely impacted as previously thought, which could lead to higher oil supplies and subsequently lower prices, benefiting consumers and oil-intensive industries.</t>
  </si>
  <si>
    <t>Russian Oil Selling at 30% Discount to Global Benchmark, Data Show</t>
  </si>
  <si>
    <t>https://www.bloomberg.com/news/articles/2022-05-31/the-deepening-discounts-on-russian-oil-in-the-country-s-own-data</t>
  </si>
  <si>
    <t>The sentiment is 'bearish' because a 30% discount to the global benchmark price indicates that Russian oil is being sold at a significantly lower price than its competitors, suggesting a lack of demand, oversupply, or other market weaknesses that would negatively impact oil prices.</t>
  </si>
  <si>
    <t>Diesel and gasoline supply crunch sets off sharp rally in crude oil market</t>
  </si>
  <si>
    <t>https://www.ft.com/content/792171d7-ae3c-469c-bac6-295fd217bd57</t>
  </si>
  <si>
    <t>The sentiment is 'bullish' because a supply crunch in diesel and gasoline typically leads to an increase in demand for crude oil, as refiners seek to replenish depleted inventories, which in turn drives up crude oil prices.</t>
  </si>
  <si>
    <t>Brent crude climbs above $120 a barrel as China eases lockdowns</t>
  </si>
  <si>
    <t>https://www.aljazeera.com/economy/2022/5/30/brent-crude-climbs-above-120-a-barrel-as-china-eases-lockdowns</t>
  </si>
  <si>
    <t>The sentiment is 'bullish' because the easing of lockdowns in China, a major consumer of oil, is likely to lead to an increase in oil demand, which supports higher prices.</t>
  </si>
  <si>
    <t>Oil breaches $120 a barrel as petrol and diesel prices soar</t>
  </si>
  <si>
    <t>https://www.ft.com/content/e98313fd-a072-40f6-9e1b-4b52a1b1b20c</t>
  </si>
  <si>
    <t>The sentiment is not 'bullish' because a surge in oil prices to $120 a barrel, accompanied by soaring petrol and diesel prices, typically has negative implications for the economy and consumers, rather than being a positive or optimistic development.</t>
  </si>
  <si>
    <t>Marsh revealed in oil pipeline project shunned by leading banks and insurers</t>
  </si>
  <si>
    <t>https://www.ft.com/content/597a2b01-fb54-4fd3-b326-dadf52dc250a</t>
  </si>
  <si>
    <t>The sentiment is 'bearish' because the headline suggests that major financial institutions are distancing themselves from the oil pipeline project, implying a lack of confidence in its viability and potentially indicating a shift away from fossil fuel investments, which could negatively impact the oil industry's growth prospects.</t>
  </si>
  <si>
    <t>Oil falls 2.5% as U.S. refiners ramp up output, equities retreat</t>
  </si>
  <si>
    <t>https://www.reuters.com/markets/europe/oil-prices-climb-hopes-china-demand-recovery-2022-05-18/</t>
  </si>
  <si>
    <t>The sentiment is 'bearish' because the headline suggests that an increase in oil supply, driven by U.S. refiners ramping up output, is putting downward pressure on oil prices, which is a negative development for oil prices.</t>
  </si>
  <si>
    <t>FCPOc3 - Reuters</t>
  </si>
  <si>
    <t>https://news.google.com/rss/articles/CBMiWEFVX3lxTFA5RmFlcjRhei1oYU5URFpVU0s3NTRKWl9ka09JbXdHbkNqV0NHeUZnZVBleGhVbGZtYURRYXZvbkI2ZTIzNmt3TEQ2TFJTbzRvRWp0cEo3SS0?oc=5</t>
  </si>
  <si>
    <t>The sentiment is 'unrelated' because the headline "FCPOc3 - Reuters" appears to be a reference to a specific futures contract code for Crude Palm Oil (FCPO) and the news agency Reuters, which does not convey a positive, negative, or neutral emotional tone, making it unrelated to sentiment analysis.</t>
  </si>
  <si>
    <t>Saudi Aramco overtakes Apple as worldâ€™s most valuable company</t>
  </si>
  <si>
    <t>https://www.ft.com/content/e27fec7b-6afd-4ba4-8e5e-d5d4274f9747</t>
  </si>
  <si>
    <t>The sentiment is 'bullish' because the headline suggests that Saudi Aramco, a key player in the oil industry, has surpassed Apple, a tech giant, in terms of market value, implying a significant shift in investor confidence towards the energy sector.</t>
  </si>
  <si>
    <t>Indonesia palm oil export ban fuels global food inflation threat</t>
  </si>
  <si>
    <t>https://www.ft.com/content/38b6df62-e863-4ba1-8274-138ccb2b061b</t>
  </si>
  <si>
    <t>The sentiment is not 'bullish' because a headline about a palm oil export ban fuelling global food inflation is actually a bearish signal, suggesting that prices will rise due to supply constraints, which is typically associated with a negative market outlook.</t>
  </si>
  <si>
    <t>Texts reveal UK traders exulting over negative oil price in 2020</t>
  </si>
  <si>
    <t>https://www.ft.com/content/304b03cc-f5fa-4c36-b60b-5641cb199ef9</t>
  </si>
  <si>
    <t>The sentiment is 'bearish' because the headline suggests that traders were celebrating a negative oil price, which is a rare and unusual event that typically indicates a severe market downturn or crisis, implying a pessimistic outlook on the oil market.</t>
  </si>
  <si>
    <t>Oil Traders Turn to Obscure Options Market for Extra Finance</t>
  </si>
  <si>
    <t>https://www.bloomberg.com/news/articles/2022-04-13/oil-traders-turn-toward-options-market-for-extra-finance</t>
  </si>
  <si>
    <t>The sentiment is 'bullish' because the headline suggests that oil traders are seeking out alternative financing options, indicating a growing demand for oil and a potential increase in prices, which would benefit those who are long on oil.</t>
  </si>
  <si>
    <t>Why Apple Is Preparing to Let You Subscribe to Your iPhone</t>
  </si>
  <si>
    <t>https://www.bloomberg.com/news/newsletters/2022-04-03/will-i-be-able-to-subscribe-to-my-apple-aapl-iphone-and-pay-monthly-l1jc5o3e</t>
  </si>
  <si>
    <t>The sentiment is 'unrelated' because this headline is about Apple's business strategy and iPhone subscription plans, which has no connection to the oil market, and thus is outside the realm of my expertise as an oil market analyst.</t>
  </si>
  <si>
    <t>Russian oil exports to India surge as Europe shuns cargoes</t>
  </si>
  <si>
    <t>https://www.ft.com/content/5efc6338-3f01-4015-aedf-53a4a1944ca8</t>
  </si>
  <si>
    <t>The sentiment is 'bullish' because the headline suggests that Russian oil exports are finding a new market in India, which could support oil prices and benefit Russia's oil industry, despite Europe's efforts to reduce its dependence on Russian oil.</t>
  </si>
  <si>
    <t>WSJ News Exclusive | Saudi Arabia Considers Accepting Yuan Instead of Dollars for Chinese Oil Sales - WSJ</t>
  </si>
  <si>
    <t>https://news.google.com/rss/articles/CBMixwFBVV95cUxNUzZDWkp4WXFZMUptb2p0M252b0QzTnZYUW5YcHVkQXpaQXFwOXRxcnF3Zmp1djlVN3BSVFpaTEFoOTRVVG9Uak0zQkdTQUFVTk1hVVFwTWk2Y3E4ZENaN0t3dmtNNnVoMDVQWVY2ZW9QMWkyU0RMVGVhSzlZUnh6VUoxUjd2Tl8xT013WUlzbTlqTElZR1VSS1htTDcwLWFGVDQ5cXV0YXAtYk80VnozRW5yS1dIdEtQSmxCaVdObU9LeUJXZ0dz?oc=5</t>
  </si>
  <si>
    <t>The sentiment is 'bullish' because a potential shift away from the US dollar in international oil transactions could lead to increased demand for the Chinese yuan, which could strengthen the currency and boost China's economic influence, ultimately benefiting the oil market and global economy.</t>
  </si>
  <si>
    <t>U.S. Journalist Brent Renaud Killed in Ukraine</t>
  </si>
  <si>
    <t>https://www.wsj.com/articles/u-s-journalist-brent-renaud-killed-in-ukraine-11647190975</t>
  </si>
  <si>
    <t>The sentiment is 'bearish' because the killing of a U.S. journalist in Ukraine is likely to escalate geopolitical tensions, leading to increased uncertainty and risk aversion in the oil market, which could drive prices down.</t>
  </si>
  <si>
    <t xml:space="preserve">Russian invasion and soaring fuel prices shake airline industry </t>
  </si>
  <si>
    <t>https://www.ft.com/content/2bbb3a7d-00e2-4043-b85a-593eb116a9fe</t>
  </si>
  <si>
    <t>The sentiment is not 'bullish' because the headline suggests a negative impact on the airline industry due to external factors, namely the Russian invasion and soaring fuel prices, which would likely lead to decreased demand and revenue for airlines, rather than an optimistic outlook.</t>
  </si>
  <si>
    <t>Brent Turner</t>
  </si>
  <si>
    <t>https://www.google.com/url?sa=t&amp;rct=j&amp;q=&amp;esrc=s&amp;source=newssearch&amp;cd=&amp;cad=rja&amp;uact=8&amp;ved=2ahUKEwjDv_b6qpCNAxVKxzgGHQdzF8845gEQxfQBKAB6BAgNEAE&amp;url=https%3A%2F%2Fwww.thomsonreuters.com%2Fen-us%2Fposts%2Fauthors%2Fbrent-turner%2F&amp;usg=AOvVaw3dc4BAaoovO5wkc2M1RPJb&amp;opi=89978449</t>
  </si>
  <si>
    <t>The sentiment is 'unrelated' because the headline "Brent Turner" appears to be a person's name and does not provide any context or information related to the oil market or Brent crude oil, which is often the subject of analysis in the oil market.</t>
  </si>
  <si>
    <t>Oil Slumps With OPEC+ and Ukraine Headlines Sparking Huge Swings</t>
  </si>
  <si>
    <t>https://www.bloomberg.com/news/articles/2022-03-08/oil-pushes-higher-after-u-s-escalates-russia-sanctions-with-ban</t>
  </si>
  <si>
    <t>The sentiment is 'bearish' because the headline suggests that the combination of OPEC+ and Ukraine headlines is causing significant volatility and downward pressure on oil prices, implying a pessimistic market outlook.</t>
  </si>
  <si>
    <t>Oil Extends Gains With U.S. and U.K. Banning Russian Imports</t>
  </si>
  <si>
    <t>https://www.bloomberg.com/news/articles/2022-03-07/oil-keeps-rising-as-russian-invasion-reverberates-across-markets</t>
  </si>
  <si>
    <t>The sentiment is 'bullish' because the ban on Russian oil imports by the U.S. and U.K. is likely to lead to a reduction in global oil supply, which will put upward pressure on prices, benefiting oil producers and supporting the current upward trend in the market.</t>
  </si>
  <si>
    <t>Oil prices hit 14-year highs on Russia oil ban talks, Iran deal delay</t>
  </si>
  <si>
    <t>https://www.reuters.com/business/energy/oil-spikes-2008-highs-us-europe-mull-russian-oil-import-ban-iran-delay-2022-03-07/</t>
  </si>
  <si>
    <t>The sentiment is 'bullish' because the combination of potential supply reductions from a Russia oil ban and delayed Iranian oil exports would likely lead to a tighter market balance, thereby supporting higher oil prices.</t>
  </si>
  <si>
    <t>Crude price jumps on talk of US oil ban as Russia steps up shelling of civilian areas</t>
  </si>
  <si>
    <t>https://www.ft.com/content/5f08826e-55ca-4e5b-a72c-52d034278576</t>
  </si>
  <si>
    <t>The sentiment is 'bullish' because the potential US oil ban, coupled with Russia's escalation of violence, suggests a reduction in global oil supply, which would lead to higher crude prices.</t>
  </si>
  <si>
    <t>Tim Key channels David Brent in BBC comedy The Witchfinder</t>
  </si>
  <si>
    <t>https://www.ft.com/content/64342a04-941d-4430-8f16-96416c11957c</t>
  </si>
  <si>
    <t>The sentiment is 'unrelated' because the headline appears to be discussing a TV show and its comparison to another character, which has no apparent connection to the oil market, making it unrelated to my area of expertise as an oil market analyst.</t>
  </si>
  <si>
    <t>Shell stands to make $20mn from contentious Russian oil trade</t>
  </si>
  <si>
    <t>https://www.ft.com/content/9aecf062-7882-4418-ae50-a92eb7523adf</t>
  </si>
  <si>
    <t>The sentiment is not 'bullish' because Shell making a profit from a contentious trade does not necessarily indicate a positive outlook for the company or the oil market as a whole, as the trade may be seen as controversial and potentially damaging to Shell's reputation.</t>
  </si>
  <si>
    <t>Oil Has Wildest Week on Record With Markets Jolted by War</t>
  </si>
  <si>
    <t>https://www.bloomberg.com/news/articles/2022-03-03/oil-extends-wild-week-s-gain-as-ukraine-invasion-rattles-markets</t>
  </si>
  <si>
    <t>The sentiment is 'bearish' because the headline suggests that the unprecedented volatility in oil prices is driven by a geopolitical event, namely war, which typically leads to supply disruptions and increased uncertainty, causing investors to become risk-averse and bearish on oil prices.</t>
  </si>
  <si>
    <t>Oil surges to multi-year highs as Russian supply shortfall looms</t>
  </si>
  <si>
    <t>https://www.reuters.com/business/energy/oil-rebounds-escalating-ukraine-conflict-raises-supply-concerns-2022-03-04/</t>
  </si>
  <si>
    <t>The sentiment is 'bullish' because the headline suggests that oil prices are rallying due to a potential supply shortage from Russia, which is a significant oil producer, implying that the market is expecting tighter supply conditions and higher prices.</t>
  </si>
  <si>
    <t>WSJ News Exclusive | Chicken Companies Were Asked About Sharing of Employment Practices</t>
  </si>
  <si>
    <t>https://www.wsj.com/business/justice-department-investigates-chicken-companies-information-sharing-on-labor-11646397000</t>
  </si>
  <si>
    <t>The sentiment is 'unrelated' because the headline mentions chicken companies and employment practices, which have no apparent connection to the oil market, making it an unrelated topic for an oil market analyst.</t>
  </si>
  <si>
    <t>Oil soars to $113 as European energy groups shun Russian crude</t>
  </si>
  <si>
    <t>https://www.ft.com/content/dc93a656-5305-4642-9bc5-6922e33faa06</t>
  </si>
  <si>
    <t>The sentiment is 'bullish' because the headline suggests a significant increase in oil prices, which is a positive development for oil producers and a sign of a tight market, implying that demand is outpacing supply.</t>
  </si>
  <si>
    <t>Oil prices surge over 7% as global crude reserve release disappoints</t>
  </si>
  <si>
    <t>https://www.google.com/url?sa=t&amp;rct=j&amp;q=&amp;esrc=s&amp;source=newssearch&amp;cd=&amp;cad=rja&amp;uact=8&amp;ved=2ahUKEwjDv_b6qpCNAxVKxzgGHQdzF8845gEQxfQBKAB6BAgLEAE&amp;url=https%3A%2F%2Fwww.reuters.com%2Fbusiness%2Fenergy%2Foil-prices-climb-market-weighs-release-reserves-vs-russia-disruption-2022-03-01%2F&amp;usg=AOvVaw1sLjny3xaMPRzJo7b5vvgk&amp;opi=89978449</t>
  </si>
  <si>
    <t>The sentiment is 'bullish' because the surge in oil prices despite the anticipated bearish impact of a global crude reserve release suggests that the market is more concerned about ongoing supply tightness and strong demand than the temporary influx of oil from reserves.</t>
  </si>
  <si>
    <t>Brent crude oil six-month spread at steepest backwardation on record</t>
  </si>
  <si>
    <t>https://www.reuters.com/business/energy/brent-crude-oil-six-month-spread-steepest-backwardation-record-2022-03-01/</t>
  </si>
  <si>
    <t>The sentiment is 'bullish' because a steep backwardation in the six-month spread indicates a strong current demand for oil and a supply shortage, which is likely to drive prices higher in the short term.</t>
  </si>
  <si>
    <t>Crude Falls From $100 With Russian Oil Sanctions Off the Table</t>
  </si>
  <si>
    <t>https://www.bloomberg.com/news/articles/2022-02-24/oil-advances-as-traders-mull-russia-sanctions-wti-brent-spread</t>
  </si>
  <si>
    <t>The sentiment is 'bearish' because the removal of Russian oil sanctions suggests an increased global oil supply, which would put downward pressure on prices, leading to a bearish outlook for crude oil.</t>
  </si>
  <si>
    <t>Oil tops $105/bbl after Russia attacks Ukraine</t>
  </si>
  <si>
    <t>https://www.reuters.com/business/energy/oil-rises-us-says-russian-attack-ukraine-may-occur-soon-2022-02-24/</t>
  </si>
  <si>
    <t>The sentiment is 'bullish' because the headline suggests that geopolitical tensions and potential disruptions to oil supplies have driven the price of oil higher, indicating a positive outlook for oil prices in the short term.</t>
  </si>
  <si>
    <t>European gas prices soar and oil tops $105 after Russia attacks Ukraine</t>
  </si>
  <si>
    <t>https://www.ft.com/content/c6303127-5edf-4256-9c25-effa75766002</t>
  </si>
  <si>
    <t>The sentiment is not 'bullish' because the headline suggests a supply disruption due to the Russia-Ukraine conflict, which would normally lead to a bearish sentiment in a region dependent on Russian energy exports, rather than a bullish one.</t>
  </si>
  <si>
    <t>What Happened to Oil Prices in 2020</t>
  </si>
  <si>
    <t>https://www.investopedia.com/articles/investing/100615/will-oil-prices-go-2017.asp</t>
  </si>
  <si>
    <t>The sentiment is 'bearish' because the oil price crash in 2020, driven by the COVID-19 pandemic and subsequent lockdowns, resulted in a sharp decline in oil demand and prices, leading to a tumultuous year for the oil market.</t>
  </si>
  <si>
    <t>US stocks enter correction while oil nears $100 a barrel on Ukraine tensions</t>
  </si>
  <si>
    <t>https://www.ft.com/content/bcfd9705-8e45-4810-9d93-ecf3e2a7d3a0</t>
  </si>
  <si>
    <t>The sentiment is not 'bullish' because rising oil prices and a stock market correction are typically indicative of investor risk aversion and geopolitical uncertainty, which is generally a bearish signal for the broader market.</t>
  </si>
  <si>
    <t>Oil Rally Pauses as Curve Shows One of the Tightest Markets Ever</t>
  </si>
  <si>
    <t>https://www.bloomberg.com/news/articles/2022-02-16/oil-tumbles-as-traders-weigh-iran-talks-progress-ukraine-crisis</t>
  </si>
  <si>
    <t>The sentiment is 'bullish' because the phrase "one of the tightest markets ever" suggests that supply and demand are tightly balanced, implying a high degree of market tightness and potentially supporting higher prices.</t>
  </si>
  <si>
    <t>Oil hits 7-yr highs as market fears Russian attack on Ukraine imminent</t>
  </si>
  <si>
    <t>https://www.reuters.com/business/energy/oil-prices-clamber-towards-7-year-highs-russia-ukraine-tensions-2022-02-14/</t>
  </si>
  <si>
    <t>The sentiment is 'bullish' because the headline implies that the market is pricing in a potential supply disruption due to a Russian attack on Ukraine, which would lead to a increase in oil prices, benefiting oil producers and bullish investors.</t>
  </si>
  <si>
    <t>Oil Drops After Russia Says Some Troops Returning to Bases</t>
  </si>
  <si>
    <t>https://www.bloomberg.com/news/articles/2022-02-14/oil-edges-lower-as-investors-weigh-ukraine-crisis-global-demand</t>
  </si>
  <si>
    <t>The sentiment is 'bearish' because the headline suggests a potential de-escalation of geopolitical tensions, which could lead to a decrease in oil prices as the risk premium built into the market is reduced.</t>
  </si>
  <si>
    <t>From crude oil to palm oil: Nigeria strives to diversify</t>
  </si>
  <si>
    <t>https://www.ft.com/content/d7dc168d-c9ff-42a8-88e6-319e40a179cf</t>
  </si>
  <si>
    <t>The sentiment is not 'bearish' because diversification efforts, including shifting focus to palm oil, can actually be a positive development for Nigeria's economy, reducing its dependence on volatile crude oil prices and creating new opportunities for growth.</t>
  </si>
  <si>
    <t>Saudi Arabiaâ€™s Aramco Raises Oil Prices as Crude Surges</t>
  </si>
  <si>
    <t>https://www.bloomberg.com/news/articles/2022-02-05/saudi-arabia-raises-asia-oil-prices-as-crude-surges</t>
  </si>
  <si>
    <t>The sentiment is 'bullish' because the article suggests that Aramco, the world's largest oil exporter, is taking advantage of surging crude prices by raising its own oil prices, indicating a strong and profitable market for oil producers.</t>
  </si>
  <si>
    <t>Total gives green light to $10bn Uganda oil project</t>
  </si>
  <si>
    <t>https://www.ft.com/content/324987e5-43c9-41fe-905a-7c4657a9ee59</t>
  </si>
  <si>
    <t>The sentiment is 'bullish' because the announcement of a massive investment in a new oil project suggests increased oil production and revenue potential, which is likely to boost the stock prices of Total and other companies involved in the project, as well as the broader energy sector.</t>
  </si>
  <si>
    <t>Chevron reports $5bn profit amid surging crude and natural gas prices</t>
  </si>
  <si>
    <t>https://www.ft.com/content/984501a6-f880-485e-abd1-cd03bd7b5b67</t>
  </si>
  <si>
    <t>The sentiment is 'bullish' because the report of a $5bn profit suggests that Chevron is capitalizing on the favorable market conditions of surging crude and natural gas prices, which could indicate a positive outlook for the company's future performance and the overall energy sector.</t>
  </si>
  <si>
    <t>Oil dips from seven-year high as Russia tensions offset Fed tightening</t>
  </si>
  <si>
    <t>https://www.reuters.com/markets/europe/oil-falls-profit-taking-after-brent-surges-90-barrel-2022-01-27/</t>
  </si>
  <si>
    <t>The sentiment is 'bearish' because the headline suggests that the upward momentum in oil prices has been halted by two negative factors, namely the escalation of Russia tensions and the potential for Fed tightening, which could lead to a decrease in oil demand and subsequently lower prices.</t>
  </si>
  <si>
    <t>Brent oil hits $91 a barrel as Ukraine worries persist</t>
  </si>
  <si>
    <t>https://www.aljazeera.com/economy/2022/1/27/brent-oil-hits-91-a-barrel-as-ukraine-worries-persist</t>
  </si>
  <si>
    <t>The sentiment is 'bullish' because the headline suggests that oil prices are rising due to geopolitical concerns, implying that investors are seeking safe-haven assets and driving prices up.</t>
  </si>
  <si>
    <t>Brent touches $90 a barrel for the first time since 2014</t>
  </si>
  <si>
    <t>https://www.aljazeera.com/economy/2022/1/26/brent-touches-90-a-barrel-for-the-first-time-since-2014</t>
  </si>
  <si>
    <t>The sentiment is 'bullish' because a price of $90 a barrel suggests a strong demand for oil, likely driven by a combination of factors such as solid economic growth, low inventory levels, and geopolitical tensions, which are all positive indicators for oil producers and industry stakeholders.</t>
  </si>
  <si>
    <t>Supreme Court to Review Race-Conscious Admissions Policies at Harvard, UNC</t>
  </si>
  <si>
    <t>https://www.wsj.com/us-news/education/supreme-court-to-consider-challenges-to-race-conscious-admissions-policies-at-harvard-unc-11643035684</t>
  </si>
  <si>
    <t>The sentiment is 'unrelated' because this news headline pertains to a Supreme Court decision on education policy, which has no direct impact on the oil market, making it unrelated to my area of expertise.</t>
  </si>
  <si>
    <t>Watch Northwestern's Schutte Says 'Market Has Legs' as Inflation Falls</t>
  </si>
  <si>
    <t>https://www.bloomberg.com/news/videos/2022-01-11/brent-schutte-says-market-has-legs-as-inflation-falls-video</t>
  </si>
  <si>
    <t>The sentiment is 'bullish' because the headline suggests that the market has the potential to continue its upward trend, driven by declining inflation, which is often seen as a positive factor for economic growth and stock market performance.</t>
  </si>
  <si>
    <t>Northwesternâ€™s Brent Schutte Says Forget Meme Stocks, Stick With Value</t>
  </si>
  <si>
    <t>https://www.bloomberg.com/news/articles/2022-01-11/northwestern-s-schutte-says-forget-meme-stocks-stick-with-value</t>
  </si>
  <si>
    <t>The sentiment is 'unrelated' because the headline appears to be discussing meme stocks and value investing, which has no apparent connection to the oil market, making it unrelated to the expertise of an oil market analyst.</t>
  </si>
  <si>
    <t>Oil Rises Amid Doubts About OPEC+ Plan to Boost Production</t>
  </si>
  <si>
    <t>https://www.bloomberg.com/news/articles/2022-01-05/oil-holds-gain-after-opec-adds-more-output-as-market-tightens</t>
  </si>
  <si>
    <t>The sentiment is 'bullish' because the headline suggests that the market is questioning the ability of OPEC+ to increase production, which implies that supply may not increase as expected, thereby supporting prices.</t>
  </si>
  <si>
    <t>Oklahoma Hires Clemson's Brent Venables to Replace Riley</t>
  </si>
  <si>
    <t>https://www.bloomberg.com/news/articles/2021-12-05/ap-source-oklahoma-targeting-clemson-s-venables-as-coach</t>
  </si>
  <si>
    <t>The sentiment is 'unrelated' because the headline appears to be about a coaching change in college football, which has no discernible connection to the oil market or any related economic or financial issues that would be of concern to an oil market analyst.</t>
  </si>
  <si>
    <t>Will tapping the US Strategic Petroleum Reserve lower oil prices?</t>
  </si>
  <si>
    <t>https://www.ft.com/content/a682a7c8-66d3-466a-948c-451c56ead1ed</t>
  </si>
  <si>
    <t>The sentiment is 'bearish' because tapping the US Strategic Petroleum Reserve may only provide temporary relief to high oil prices, and its limited capacity and duration of impact may not be enough to reverse the underlying upward trend in oil prices driven by strong demand and supply constraints.</t>
  </si>
  <si>
    <t>Emerging Markets Headlines | Breaking Stock Market News - Reuters</t>
  </si>
  <si>
    <t>https://news.google.com/rss/articles/CBMiU0FVX3lxTE92M0lLcS1uUVBmTThnYWRaLTI2TTg2VnhCRG52eWFpX3FISDhFbDdsV0ZoVTJyVWlHTHl6RmJNLXBSSzJ3aEZYWGFXYmlGMW9lQ0tB?oc=5</t>
  </si>
  <si>
    <t>The sentiment is 'unrelated' because the headline appears to be a general news headline focused on emerging markets and stock market news, with no mention of oil markets, making it unrelated to the field of oil market analysis.</t>
  </si>
  <si>
    <t>Oil Posts 4th Straight Weekly Loss as Covid Wave Clouds Market</t>
  </si>
  <si>
    <t>https://www.bloomberg.com/news/articles/2021-11-18/oil-set-for-weekly-drop-as-decision-on-spr-hangs-over-market</t>
  </si>
  <si>
    <t>The sentiment is 'bearish' because the headline explicitly states that oil has posted a fourth straight weekly loss, implying a sustained downward trend in oil prices, which is typically associated with a bearish market sentiment.</t>
  </si>
  <si>
    <t>Lina Khan Sees Turbulent Start as Head of Federal Trade Commission</t>
  </si>
  <si>
    <t>https://www.wsj.com/articles/lina-khan-sees-turbulent-start-as-head-of-federal-trade-commission-11637073000</t>
  </si>
  <si>
    <t>The sentiment is 'unrelated' because the headline is discussing the turbulence faced by the new head of the Federal Trade Commission, Lina Khan, which has no direct connection to the oil market, making it an unrelated topic to my area of expertise.</t>
  </si>
  <si>
    <t>White House says Opec risks imperilling economic recovery</t>
  </si>
  <si>
    <t>https://www.ft.com/content/4a2fc7b2-c963-4418-9997-d1bf203c3a35</t>
  </si>
  <si>
    <t>The sentiment is 'bearish' because the White House's statement implies that OPEC's actions could hinder the economic recovery, which would likely lead to reduced oil demand and subsequently lower oil prices.</t>
  </si>
  <si>
    <t>Justice Department Sues to Block Penguin Random Houseâ€™s Acquisition of Simon &amp; Schuster</t>
  </si>
  <si>
    <t>https://www.wsj.com/business/media/justice-department-sues-to-block-penguin-random-houses-acquisition-of-simon-schuster-11635866422</t>
  </si>
  <si>
    <t>The sentiment is 'unrelated' because the headline appears to be about a merger and acquisition issue in the publishing industry, which has no direct connection to the oil market, making it an unrelated topic for an oil market analyst.</t>
  </si>
  <si>
    <t>WSJ News Exclusive | Justice Department Probes Visaâ€™s Relationships With Fintech Firms</t>
  </si>
  <si>
    <t>https://www.wsj.com/articles/justice-department-probes-visas-relationships-with-fintech-firms-11635358833</t>
  </si>
  <si>
    <t>The sentiment is 'unrelated' because the headline appears to be discussing a Justice Department probe into Visa's relationships with fintech firms, which has no direct connection to the oil market, and thus, is unrelated to my expertise as an oil market analyst.</t>
  </si>
  <si>
    <t>Light Texas Crude Oil Is Attracting More Buyers Ahead of a Winter Fuel Pinch</t>
  </si>
  <si>
    <t>https://www.bloomberg.com/news/articles/2021-10-22/lighter-permian-crudes-lure-more-buyers-in-winter-fuel-pinch</t>
  </si>
  <si>
    <t>The sentiment is 'bullish' because the headline suggests that there is increasing demand for light Texas crude oil, which is a positive indicator for the price of oil, implying that it may rise ahead of the winter season when fuel demand typically increases.</t>
  </si>
  <si>
    <t>Oil remains near multi-year highs as energy crunch persists</t>
  </si>
  <si>
    <t>https://www.reuters.com/business/energy/oil-prices-fall-weaker-china-growth-us-output-stoke-demand-concerns-2021-10-19/</t>
  </si>
  <si>
    <t>The sentiment is 'bullish' because the phrase "remains near multi-year highs" implies that oil prices are sustained at elevated levels, indicating a strong upward trend and optimistic market outlook.</t>
  </si>
  <si>
    <t>Brent's 'scarcity premium' widens to most since 2013 in oil rally</t>
  </si>
  <si>
    <t>https://www.reuters.com/business/energy/brents-scarcity-premium-widens-most-since-2013-oil-rally-2021-10-15/</t>
  </si>
  <si>
    <t>The sentiment is 'bullish' because the widening of Brent's 'scarcity premium' to its highest level since 2013 indicates a strong demand for oil and a tightening of global oil supplies, which is typically a bullish signal for oil prices.</t>
  </si>
  <si>
    <t>Oil Rallies After U.S. Signals No Plans to Tap Crude Reserves</t>
  </si>
  <si>
    <t>https://www.bloomberg.com/news/articles/2021-10-06/oil-holds-drop-from-seven-year-high-as-energy-crunch-fears-ease</t>
  </si>
  <si>
    <t>The sentiment is 'bullish' because the news implies that the U.S. government is not planning to increase oil supply, which would have put downward pressure on prices, and instead, the market is left to balance itself, allowing prices to rally.</t>
  </si>
  <si>
    <t>US oil hits 7-year high after Opec+ resists calls to accelerate production</t>
  </si>
  <si>
    <t>https://www.ft.com/content/ccd6f6d6-6045-4f0c-8638-9b0e01fee1c5</t>
  </si>
  <si>
    <t>The sentiment is 'bullish' because the Opec+ decision to resist calls to accelerate production suggests that the cartel is confident in the current demand trajectory and is willing to maintain a tighter supply balance, which is supportive of higher prices.</t>
  </si>
  <si>
    <t>US shale drillers cannot contain oil price rise, Pioneer boss says</t>
  </si>
  <si>
    <t>https://www.ft.com/content/c21eb656-8d09-45ce-a13a-7d8419426b05</t>
  </si>
  <si>
    <t>The sentiment is 'bullish' because the headline suggests that US shale drillers are unable to increase production quickly enough to meet demand, which implies that oil prices will continue to rise, benefiting oil producers and investors.</t>
  </si>
  <si>
    <t>Too Much Oil: How a Barrel Came to Be Worth Less Than Nothing (Published 2020)</t>
  </si>
  <si>
    <t>https://www.nytimes.com/2020/04/20/business/oil-prices.html</t>
  </si>
  <si>
    <t>The sentiment is 'bearish' because the headline suggests that the oil market is experiencing a severe supply glut, causing the value of a barrel of oil to plummet to unprecedented lows, which is a fundamentally negative development for oil producers and investors.</t>
  </si>
  <si>
    <t>Brent dips after topping $80 a barrel, highest since Oct 2018</t>
  </si>
  <si>
    <t>https://www.reuters.com/business/energy/oil-eases-investors-take-profit-after-5-day-rally-2021-09-28/</t>
  </si>
  <si>
    <t>The sentiment is not 'bearish' because the headline's focus on the price topping $80 a barrel, the highest since October 2018, suggests a strong upward trend, which is typically associated with a bullish rather than bearish sentiment.</t>
  </si>
  <si>
    <t>Oil up on tight supply, Brent crude nears $80 a barrel</t>
  </si>
  <si>
    <t>https://www.reuters.com/business/energy/oil-gains-fifth-day-amid-supply-constraints-2021-09-27/</t>
  </si>
  <si>
    <t>The sentiment is 'bullish' because the headline suggests that oil prices are rising due to a tightening of supply, implying a favorable outlook for oil producers and a potential continued upward trend in prices.</t>
  </si>
  <si>
    <t>Why China Is Facing a Power Crunch and What It Means</t>
  </si>
  <si>
    <t>https://www.bloomberg.com/news/articles/2021-09-27/why-china-is-facing-a-power-crunch-and-what-it-means-quicktake</t>
  </si>
  <si>
    <t>The sentiment is not 'bullish' because a power crunch in China implies reduced industrial activity and economic growth, which would lead to lower energy demand and consequently weaker oil prices, not a bullish outlook for the oil market.</t>
  </si>
  <si>
    <t>Oil prices hit three-year high as gas crunch starts to affect crude market</t>
  </si>
  <si>
    <t>https://www.ft.com/content/ad4ae04c-65ef-4ec3-afdf-28f559f72ff3</t>
  </si>
  <si>
    <t>The sentiment is 'bullish' because the headline suggests that the oil market is experiencing upward pressure due to a gas crunch, which implies strong demand and potential supply constraints, leading to higher prices.</t>
  </si>
  <si>
    <t>Justice Department Files Antitrust Suit Challenging American-JetBlue Alliance</t>
  </si>
  <si>
    <t>https://www.wsj.com/business/airlines/justice-department-preparing-to-challenge-american-jetblue-alliance-11632232697</t>
  </si>
  <si>
    <t>The sentiment is 'unrelated' because the headline about an antitrust suit challenging an airline alliance has no direct connection to the oil market, and therefore, does not convey a positive, negative, or neutral sentiment about the oil market.</t>
  </si>
  <si>
    <t>Oil Rallies to Six-Week High as U.S. Crude Stockpiles Tighten</t>
  </si>
  <si>
    <t>https://www.bloomberg.com/news/articles/2021-09-14/oil-extends-gains-as-industry-report-shows-drop-in-inventories</t>
  </si>
  <si>
    <t>The sentiment is 'bullish' because the headline implies that the reduction in U.S. crude stockpiles has led to an increase in oil prices, which is a positive development for oil producers and investors, and suggests a potential trend reversal or continued upward momentum in the market.</t>
  </si>
  <si>
    <t>Largest US crude oil export hub sold to Enbridge as part of $3bn deal</t>
  </si>
  <si>
    <t>https://www.ft.com/content/0f74ab71-0ca8-4792-a5ae-e7869641470d</t>
  </si>
  <si>
    <t>The sentiment is 'bullish' because the deal signals confidence in the long-term demand for US crude oil exports and Enbridge's willingness to invest heavily in the infrastructure, which suggests a positive outlook for the oil market and the companies involved.</t>
  </si>
  <si>
    <t>WhatsApp Fined $266 Million Over Data Transparency Breaches</t>
  </si>
  <si>
    <t>https://www.bloomberg.com/news/articles/2021-09-02/whatsapp-fined-266-million-over-data-transparency-violations</t>
  </si>
  <si>
    <t>The sentiment is 'unrelated' because the headline regarding WhatsApp's fine has no direct connection to the oil market, and therefore, would not have any impact on oil prices or market trends.</t>
  </si>
  <si>
    <t>Transcript: Brent Donnelly on What It Takes to Be a Winning Trader</t>
  </si>
  <si>
    <t>https://www.bloomberg.com/news/articles/2021-08-13/brent-donnelly-on-what-it-takes-to-be-a-winning-trader</t>
  </si>
  <si>
    <t>The sentiment is 'unrelated' because this headline appears to be about trading strategies and has no apparent connection to the oil market, making it unrelated to my area of expertise as an oil market analyst.</t>
  </si>
  <si>
    <t>Brent Donnelly on What It Takes To Be a Winning Trader</t>
  </si>
  <si>
    <t>https://www.bloomberg.com/news/articles/2021-08-12/brent-donnelly-on-what-it-takes-to-be-a-winning-trader</t>
  </si>
  <si>
    <t>The sentiment is not 'unrelated' because the topic of the headline, which focuses on the qualities required to be a successful trader, has some indirect relevance to the oil market, as trading is a crucial aspect of the oil industry, and a winning trader in the oil market would require a deep understanding of the market's dynamics.</t>
  </si>
  <si>
    <t>Facebook Seeks FTC Chair Lina Khanâ€™s Recusal in Antitrust Case</t>
  </si>
  <si>
    <t>https://www.wsj.com/us-news/law/facebook-seeks-recusal-of-ftc-chairwoman-in-antitrust-case-11626267605</t>
  </si>
  <si>
    <t>The sentiment is 'unrelated' because the headline about Facebook's antitrust case and the FTC chair has no apparent connection to the oil market, making it an unrelated topic for an oil market analyst.</t>
  </si>
  <si>
    <t>Death of the â€˜mega pipelineâ€™ forces rethink of oil and gas infrastructure</t>
  </si>
  <si>
    <t>https://www.ft.com/content/5d8c128a-1212-4abf-b0f4-c65d7409109b</t>
  </si>
  <si>
    <t>The sentiment is not 'bullish' because the demise of a "mega pipeline" could lead to reduced capacity and increased transportation costs for oil producers, potentially putting downward pressure on oil prices and benefiting consumers rather than the oil and gas industry as a whole.</t>
  </si>
  <si>
    <t>Why is Opec+ in turmoil when oil prices are elevated?</t>
  </si>
  <si>
    <t>https://www.ft.com/content/17acce16-ae2c-4886-9853-2f579d81d3be</t>
  </si>
  <si>
    <t>The sentiment is 'bearish' because the turmoil within Opec+ may suggest that the group's ability to coordinate production cuts and support prices is eroding, which could lead to a decline in oil prices in the future.</t>
  </si>
  <si>
    <t>Oil Rises for Sixth Week With OPEC+ Supply Dispute Dragging On</t>
  </si>
  <si>
    <t>https://www.bloomberg.com/news/articles/2021-07-01/oil-holds-gains-near-75-as-opec-delays-key-output-decision</t>
  </si>
  <si>
    <t>The sentiment is 'bullish' because the headline suggests that oil prices are rising, and the OPEC+ supply dispute is a bullish factor that is contributing to the upward trend, as it implies that the cartel is not increasing production sufficiently, leading to tighter supplies and higher prices.</t>
  </si>
  <si>
    <t>Biden Administration Removes Fannie, Freddie Overseer After Court Ruling</t>
  </si>
  <si>
    <t>https://www.wsj.com/finance/regulation/supreme-court-issues-mixed-ruling-on-government-seizure-of-fannie-freddie-profits-11624459222</t>
  </si>
  <si>
    <t>The sentiment is 'unrelated' because this headline appears to be about a regulatory development in the US housing finance sector, which has no direct or obvious connection to the oil market, making it an unrelated event from an oil market analyst's perspective.</t>
  </si>
  <si>
    <t>Brent crude's premium to Dubai hits 21-month high, shuts arbitrage</t>
  </si>
  <si>
    <t>https://www.reuters.com/business/energy/brent-crudes-premium-dubai-hit-21-month-high-shuts-arbitrage-2021-06-18/</t>
  </si>
  <si>
    <t>The sentiment is 'bullish' because a widening premium of Brent crude to Dubai crude suggests stronger demand for Brent, which is often seen as a benchmark for global oil prices, indicating a tighter market and potentially higher prices ahead.</t>
  </si>
  <si>
    <t>Oil prices rally as Opec+ producers agree slow supply increase</t>
  </si>
  <si>
    <t>https://www.ft.com/content/e74a09b0-9ce3-46f0-95b9-5fa7f0792dce</t>
  </si>
  <si>
    <t>The sentiment is 'bullish' because the agreement to increase supply at a slow pace suggests that OPEC+ producers are taking a cautious approach to avoid flooding the market, which should support prices and reduce the risk of a sharp decline.</t>
  </si>
  <si>
    <t>Brent crude hits $70 as traders bet on sustained revival in oil demand</t>
  </si>
  <si>
    <t>https://www.ft.com/content/83b10e14-d143-4951-a315-cd4170320ac3</t>
  </si>
  <si>
    <t>The sentiment is 'bullish' because the headline suggests that traders are optimistic about a prolonged recovery in oil demand, which implies a potential increase in oil prices, hence the price hitting $70.</t>
  </si>
  <si>
    <t>Brent Oil Climbs to $70 a Barrel as Reopenings Boost Demand</t>
  </si>
  <si>
    <t>https://www.bloomberg.com/news/articles/2021-05-18/brent-oil-climbs-to-70-a-barrel-as-reopenings-boost-demand</t>
  </si>
  <si>
    <t>The sentiment is 'bullish' because the headline suggests that oil prices are increasing due to a rise in demand, which is a positive trend for oil producers and investors, indicating a favorable outlook for the market.</t>
  </si>
  <si>
    <t>7-Eleven Completes Convenience Store Acquisition Amid FTC Disarray</t>
  </si>
  <si>
    <t>https://www.wsj.com/business/7-eleven-completes-convenience-store-acquisition-amid-ftc-disarray-11621026685</t>
  </si>
  <si>
    <t>The sentiment is 'unrelated' because the headline refers to a company acquisition in the convenience store industry, which has no apparent connection to the oil market, making it an unrelated topic for an oil market analyst.</t>
  </si>
  <si>
    <t>Kauaiâ€™s Home Market is So Hot, Buyers Are Snapping Up Properties Sight Unseen</t>
  </si>
  <si>
    <t>https://www.wsj.com/articles/kauai-real-estate-is-so-hot-right-now-buyers-are-snapping-up-homes-sight-unseen-11620313537</t>
  </si>
  <si>
    <t>The sentiment is 'unrelated' because this headline is about the real estate market on the island of Kauai, which has no apparent connection to the oil market, making it an unrelated topic from the perspective of an oil market analyst.</t>
  </si>
  <si>
    <t>TikTok Begins Testing In-App Shopping to Challenge Facebook</t>
  </si>
  <si>
    <t>https://www.bloomberg.com/news/articles/2021-05-11/tiktok-begins-testing-in-app-shopping-to-challenge-facebook</t>
  </si>
  <si>
    <t>The sentiment is 'unrelated' because the headline is discussing a social media platform's e-commerce feature, which has no direct connection to the oil market, making it an unrelated topic.</t>
  </si>
  <si>
    <t>Energy News | Top Energy Headlines - Reuters</t>
  </si>
  <si>
    <t>https://news.google.com/rss/articles/CBMiUkFVX3lxTE8tM2NJUUgycnY1dXBYNW9OREJRWGdCenBPTEo3RENRVERUbEdueHY3VDFmUFBVSmlsYlJEUjhjSzRKaFRNN0NQcXFXQzh3anREY0E?oc=5</t>
  </si>
  <si>
    <t>The sentiment is 'unrelated' because the headline is simply a title for a news section or feed, without expressing a subjective opinion or emotional tone, and thus does not convey a positive, negative, or neutral sentiment.</t>
  </si>
  <si>
    <t>Travel Startup Inspirato in Talks to Merge With Thayer SPAC</t>
  </si>
  <si>
    <t>https://www.bloomberg.com/news/articles/2021-04-15/travel-startup-inspirato-said-in-talks-to-merge-with-thayer-spac</t>
  </si>
  <si>
    <t>The sentiment is 'unrelated' because the headline appears to be discussing a potential merger between a travel startup and a special purpose acquisition company (SPAC), which has no apparent connection to the oil market.</t>
  </si>
  <si>
    <t>Future of Shell Brent Oil Platform's Giant Legs Remains Uncertain</t>
  </si>
  <si>
    <t>https://www.bloomberg.com/news/articles/2021-04-09/future-of-brent-oil-platform-s-giant-legs-remains-uncertain</t>
  </si>
  <si>
    <t>The sentiment is 'bearish' because the uncertainty surrounding the future of a major oil platform's giant legs implies potential disruptions to oil production and supply, which could negatively impact the oil market and drive prices down.</t>
  </si>
  <si>
    <t>Mars Sour crude weakens despite widening Brent/WTI spread</t>
  </si>
  <si>
    <t>https://www.reuters.com/article/us-usa-crude-cash/mars-sour-crude-weakens-despite-widening-brent-wti-spread-idUSKBN2BW2UM/</t>
  </si>
  <si>
    <t>The sentiment is 'bearish' because a widening Brent/WTI spread typically indicates a strengthening of the US crude market, but in this case, Mars Sour crude is still weakening, implying that the fundamental demand for this specific crude is not strong enough to benefit from the more favorable spread.</t>
  </si>
  <si>
    <t>WSJ News Exclusive | Visa Faces Antitrust Investigation Over Debit-Card Practices</t>
  </si>
  <si>
    <t>https://www.wsj.com/finance/regulation/justice-department-investigating-visa-over-debit-card-practices-11616164525</t>
  </si>
  <si>
    <t>The sentiment is 'unrelated' because this headline has no apparent connection to the oil market, and visa debit-card practices have no direct impact on the supply and demand dynamics of crude oil, making it an unrelated news item for an oil market analyst.</t>
  </si>
  <si>
    <t>ICE to run parallel contracts after Platts Brent benchmark change</t>
  </si>
  <si>
    <t>https://www.reuters.com/business/energy/ice-run-parallel-contracts-after-platts-brent-benchmark-change-2021-03-03/</t>
  </si>
  <si>
    <t>The sentiment is 'unrelated' because the headline appears to be a neutral, factual report on a specific development in the oil market, without conveying any emotion, opinion, or value judgment that would suggest a positive, negative, or mixed sentiment.</t>
  </si>
  <si>
    <t>U.S. Crude Will Help to Set Global Brent Oil Benchmark From 2022</t>
  </si>
  <si>
    <t>https://www.bloomberg.com/news/articles/2021-02-22/u-s-crude-will-help-to-set-global-brent-oil-benchmark-from-2022</t>
  </si>
  <si>
    <t>The sentiment is 'bullish' because the headline suggests that U.S. crude will gain greater influence over the global oil market, potentially leading to increased demand and prices for U.S. crude, which could benefit domestic producers and the energy industry as a whole.</t>
  </si>
  <si>
    <t>Oil Rallies as Extreme Texas Cold Batters U.S. Energy Markets</t>
  </si>
  <si>
    <t>https://www.bloomberg.com/news/articles/2021-02-14/oil-extends-gains-as-texas-cold-seen-leaving-barrels-trapped</t>
  </si>
  <si>
    <t>The sentiment is 'bullish' because the extreme cold weather in Texas is disrupting oil production and refining operations, leading to reduced supply and supporting higher oil prices.</t>
  </si>
  <si>
    <t>Brent Climbs Above $60 With Trading Houses Divided on Rally</t>
  </si>
  <si>
    <t>https://www.bloomberg.com/news/articles/2021-02-07/brent-oil-extends-advance-toward-60-on-tightening-global-supply</t>
  </si>
  <si>
    <t>The sentiment is 'bullish' because the headline suggests that Brent crude oil has broken above the $60 mark, indicating a positive price movement, which is further supported by the fact that trading houses are divided on the rally, implying that there is still upside potential.</t>
  </si>
  <si>
    <t>Crude Oil Price Recovery Is Too Fast for Its Own Good</t>
  </si>
  <si>
    <t>https://www.bloomberg.com/opinion/articles/2021-02-07/crude-oil-price-recovery-is-too-fast-for-its-own-good</t>
  </si>
  <si>
    <t>The sentiment is 'bearish' because the rapid recovery of crude oil prices may lead to a correction or a plateau in prices as the market adjusts to the new supply and demand dynamics, potentially indicating a near-term top in the price rally.</t>
  </si>
  <si>
    <t>Kimmel-Backed Wheelhouse Group Hires Cornell Capitalâ€™s Ann Berry</t>
  </si>
  <si>
    <t>https://www.bloomberg.com/news/articles/2021-02-04/kimmel-backed-wheelhouse-group-hires-cornell-capital-s-ann-berry</t>
  </si>
  <si>
    <t>The sentiment is 'unrelated' because the headline appears to be about a personnel move in the entertainment industry, with no evident connection to the oil market, making it an unrelated news item from an oil market analyst's perspective.</t>
  </si>
  <si>
    <t>Oil Jumps to One-Year High With Depleting Supplies Aiding Rally</t>
  </si>
  <si>
    <t>https://www.bloomberg.com/news/articles/2021-02-01/oil-holds-biggest-advance-in-three-weeks-on-demand-optimism</t>
  </si>
  <si>
    <t>The sentiment is 'bullish' because the headline suggests that oil prices are increasing due to depleting supplies, implying a tightening market balance that supports higher prices, which is a positive development for oil producers and investors.</t>
  </si>
  <si>
    <t>Reddit's R/WallStreetBets Gains More Than a Million New Members Overnight</t>
  </si>
  <si>
    <t>https://www.bloomberg.com/news/articles/2021-01-28/wallstreetbets-gains-more-than-a-million-new-members-overnight</t>
  </si>
  <si>
    <t>The sentiment is 'bullish' because the sudden surge in membership on a subreddit focused on stock market investing and trading suggests increased participation and optimism in the market, which is often associated with a bullish market trend.</t>
  </si>
  <si>
    <t>Brent oil rises to highest since February after Saudi Arabia output cut</t>
  </si>
  <si>
    <t>https://www.reuters.com/business/energy/brent-oil-rises-highest-since-february-after-saudi-arabia-output-cut-2021-01-06/</t>
  </si>
  <si>
    <t>The sentiment is 'bullish' because the output cut by Saudi Arabia, a significant oil producer, reduces the global supply of oil and is likely to support higher prices, as indicated by the rise in Brent oil to its highest level since February.</t>
  </si>
  <si>
    <t>London Development to Test Demand for 15-Minute Cities After Covid-19 - WSJ</t>
  </si>
  <si>
    <t>https://www.wsj.com/real-estate/london-development-to-test-demand-for-15-minute-cities-after-covid-19-11608642000</t>
  </si>
  <si>
    <t>The sentiment is 'unrelated' because the article's topic, which appears to discuss urban development and city planning in London, has no apparent connection to the oil market or any related energy issues.</t>
  </si>
  <si>
    <t>International Oil Benchmark Weighs Adding U.S. Crude to Mix</t>
  </si>
  <si>
    <t>https://www.wsj.com/business/energy-oil/international-oil-benchmark-weighs-adding-u-s-crude-to-mix-11607030826</t>
  </si>
  <si>
    <t>The sentiment is 'bullish' because the potential inclusion of U.S. crude in the international oil benchmark would likely increase the benchmark's relevance and accuracy, reflecting the growing importance of U.S. oil production in the global market, which could boost investor confidence and support oil prices.</t>
  </si>
  <si>
    <t>Oil Surges With Weaker Dollar Compounding U.S. Supply Draw</t>
  </si>
  <si>
    <t>https://www.bloomberg.com/news/articles/2020-11-24/oil-rally-pauses-after-report-points-to-rising-u-s-stockpiles</t>
  </si>
  <si>
    <t>The sentiment is 'bullish' because a weaker dollar and a draw in U.S. oil supplies are both fundamentally supportive factors that suggest an increased demand for oil, thereby driving prices higher.</t>
  </si>
  <si>
    <t xml:space="preserve">Why ExxonMobil is sticking with oil as rivals look to a greener future </t>
  </si>
  <si>
    <t>https://www.ft.com/content/30ffa51b-2079-400e-84f1-2e45991194c8</t>
  </si>
  <si>
    <t>The sentiment is 'bullish' because ExxonMobil's commitment to oil suggests confidence in the long-term demand and profitability of the fossil fuel, which could lead to continued investment and growth in the industry.</t>
  </si>
  <si>
    <t>Walmart Files Pre-Emptive Lawsuit Against Federal Government in Opioid Case - WSJ</t>
  </si>
  <si>
    <t>https://www.wsj.com/business/retail/walmart-files-pre-emptive-lawsuit-against-federal-government-in-opioid-case-11603401216</t>
  </si>
  <si>
    <t>The sentiment is 'unrelated' because the headline about Walmart's lawsuit against the federal government in an opioid case has no obvious connection to the oil market, making it an unrelated news item from an oil market analyst's perspective.</t>
  </si>
  <si>
    <t>Justice Department Hits Google With Antitrust Lawsuit</t>
  </si>
  <si>
    <t>https://www.wsj.com/articles/justice-department-to-file-long-awaited-antitrust-suit-against-google-11603195203</t>
  </si>
  <si>
    <t>The sentiment is 'unrelated' because the headline is about an antitrust lawsuit against Google, which has no direct connection to the oil market, and therefore, does not influence the supply and demand dynamics or prices of crude oil.</t>
  </si>
  <si>
    <t>US energy stocks sinkâ€‰even as oil price steadies</t>
  </si>
  <si>
    <t>https://www.ft.com/content/28beb0fc-1925-4ae1-9ed3-c18119162266</t>
  </si>
  <si>
    <t>The sentiment is 'bearish' because the headline suggests that despite a steadying oil price, which would typically be a positive factor, US energy stocks are still declining, implying that investors are pessimistic about the energy sector's prospects.</t>
  </si>
  <si>
    <t>TikTok Owner Is Gaining Confidence Beijing to Okay U.S. Deal</t>
  </si>
  <si>
    <t>https://www.bloomberg.com/news/articles/2020-09-18/tiktok-s-owner-is-gaining-confidence-beijing-will-okay-u-s-deal</t>
  </si>
  <si>
    <t>The sentiment is 'unrelated' because this headline is about a Chinese technology company's deal with the US, which has no direct relevance or impact on the oil market, making it an unrelated news item from an oil market analyst's perspective.</t>
  </si>
  <si>
    <t>Oil Sinks Below $40 a Barrel With Demand Dropoff Looming</t>
  </si>
  <si>
    <t>https://www.bloomberg.com/news/articles/2020-09-03/oil-extends-biggest-weekly-drop-since-june-as-demand-woes-return</t>
  </si>
  <si>
    <t>The sentiment is 'bearish' because the headline explicitly states that oil prices have fallen below $40 a barrel, which is a key psychological level, and also highlights a looming demand dropoff, implying that prices may fall further due to weakening fundamentals.</t>
  </si>
  <si>
    <t>Oil Pares Weekly Gain in Wake of Sluggish Global Economies</t>
  </si>
  <si>
    <t>https://www.bloomberg.com/news/articles/2020-08-20/oil-holds-weekly-gain-as-gloomy-economic-signals-damp-rebound</t>
  </si>
  <si>
    <t>The sentiment is 'bearish' because the headline suggests that the oil market's weekly gains are being erased due to concerns about slowing global economic growth, implying a decrease in oil demand and subsequent downward pressure on prices.</t>
  </si>
  <si>
    <t>Brent Scowcroft Never Hated His Enemies</t>
  </si>
  <si>
    <t>https://www.bloomberg.com/opinion/articles/2020-08-10/brent-scowcroft-never-hated-his-enemies</t>
  </si>
  <si>
    <t>The sentiment is 'unrelated' because Brent Scowcroft was a US Lieutenant General and National Security Adviser, having no apparent connection to the oil market, making the headline's content unrelated to the oil market.</t>
  </si>
  <si>
    <t>Brent Scowcroft, adviser to US presidents, 1925-2020</t>
  </si>
  <si>
    <t>https://www.ft.com/content/87b8b8bf-329c-481a-8b77-db7c2b5677b4</t>
  </si>
  <si>
    <t>The sentiment is 'unrelated' because the headline is an obituary for a former US national security adviser and does not mention oil prices, production, or any other factor that would impact the oil market.</t>
  </si>
  <si>
    <t>Brent Scowcroft, a U.S. National Security Power Broker, Dies at 95</t>
  </si>
  <si>
    <t>https://www.wsj.com/articles/brent-scowcroft-a-u-s-national-security-power-broker-dies-at-95-11596813524</t>
  </si>
  <si>
    <t>The sentiment is 'unrelated' because the headline's subject, Brent Scowcroft, was a U.S. national security advisor and not a prominent figure in the oil market, thus his passing does not have any direct impact on the oil market or its trends.</t>
  </si>
  <si>
    <t xml:space="preserve">Big Oil gets smaller as Chevron and Exxon losses mount to $9.4bn </t>
  </si>
  <si>
    <t>https://www.ft.com/content/64d7e86e-079c-4502-a9a4-5ab7439c732f</t>
  </si>
  <si>
    <t>The sentiment is 'bearish' because the significant losses reported by two major oil companies, Chevron and Exxon, suggest a broader industry downturn, which could lead to further declines in their stock prices and potentially impact the entire energy sector.</t>
  </si>
  <si>
    <t>Taboola and Outbrainâ€™s Clickbait Marriage: What Happened When the Justice Department Showed Up</t>
  </si>
  <si>
    <t>https://www.google.com/url?sa=t&amp;rct=j&amp;q=&amp;esrc=s&amp;source=newssearch&amp;cd=&amp;ved=2ahUKEwjet_KI-ZKNAxXb2TgGHWAiL0Y4MhDF9AEoAHoECA8QAQ&amp;url=https%3A%2F%2Fwww.wsj.com%2Farticles%2Fjustice-department-won-t-challenge-merger-of-taboola-and-outbrain-11595432806&amp;usg=AOvVaw2N8aTP8PWUEAEGpPH2qeow&amp;opi=89978449</t>
  </si>
  <si>
    <t>The sentiment is 'unrelated' because the headline's topic of a potential merger between two companies in the online advertising industry (Taboola and Outbrain) has no apparent connection to the oil market, making it an unrelated issue for an oil market analyst.</t>
  </si>
  <si>
    <t>FTC Considering Deposing Top Facebook Executives in Antitrust Probe</t>
  </si>
  <si>
    <t>https://www.wsj.com/articles/ftc-considering-deposing-top-facebook-officials-in-antitrust-probe-11595019047</t>
  </si>
  <si>
    <t>The sentiment is 'unrelated' because the headline about the FTC's antitrust probe into Facebook executives has no bearing on the oil market or any oil-related issues, and therefore does not elicit a positive, negative, or neutral sentiment from an oil market analyst's perspective.</t>
  </si>
  <si>
    <t>Oil Gains With OPEC Compliance Overshadowing U.S. Demand Fears</t>
  </si>
  <si>
    <t>https://www.bloomberg.com/news/articles/2020-07-13/oil-extends-slide-on-signs-opec-will-begin-to-taper-output-cuts</t>
  </si>
  <si>
    <t>The sentiment is 'bullish' because the headline suggests that the positive impact of OPEC's compliance with production cuts outweighs the negative impact of concerns about U.S. demand, implying that the upside factors are dominating the downside ones in the oil market.</t>
  </si>
  <si>
    <t>David Uberti â€” Reporter at The Wall Street Journal - WSJ</t>
  </si>
  <si>
    <t>https://news.google.com/rss/articles/CBMiV0FVX3lxTFB2QUJiS0tCTTdibDBqZERxQVFvUkpMUF9fLUhpVHVqZjF0RnFGMWYybnExWFVydkIyVS11emJUV29JYjVyeVRla0o5dklGMlZtLUg5eDZlaw?oc=5</t>
  </si>
  <si>
    <t>The sentiment is 'unrelated' because the headline simply states a person's name and job title, providing no opinion or emotional cue that could be classified as positive, negative, or neutral, thereby making it unrelated to any sentiment.</t>
  </si>
  <si>
    <t>Shell warns of up to $22bn hit on assets from oil and gas slump</t>
  </si>
  <si>
    <t>https://www.ft.com/content/8c413183-098f-47bf-8f52-65727f818b1e</t>
  </si>
  <si>
    <t>The sentiment is 'bearish' because the announcement of a potential $22bn writedown implies a significant reduction in the value of Shell's oil and gas assets, which could lead to a decrease in the company's stock price and a negative outlook for the industry as a whole.</t>
  </si>
  <si>
    <t>Second Wave Virus Concerns Loom Large Over Crude Oil Market</t>
  </si>
  <si>
    <t>https://www.bloomberg.com/news/articles/2020-06-15/oil-holds-gains-as-broad-producer-cuts-offset-demand-concerns</t>
  </si>
  <si>
    <t>The sentiment is 'bearish' because concerns about a second wave of the virus are likely to lead to reduced demand for crude oil, as governments may reinstate lockdowns or travel restrictions, ultimately depressing oil prices.</t>
  </si>
  <si>
    <t>Adelsonâ€™s Singapore Casino Probed Over Laundering Controls</t>
  </si>
  <si>
    <t>https://www.bloomberg.com/news/articles/2020-06-04/adelson-s-singapore-casino-probed-over-money-laundering-controls</t>
  </si>
  <si>
    <t>The sentiment is 'unrelated' because this headline appears to be discussing a casino in Singapore and potential issues with money laundering controls, which has no apparent connection to the oil market.</t>
  </si>
  <si>
    <t>Brent Oil Rises Past $40 With OPEC+ Cut Extension Looking Likely</t>
  </si>
  <si>
    <t>https://www.bloomberg.com/news/articles/2020-06-02/oil-holds-gains-as-opec-closes-in-on-output-cut-extension</t>
  </si>
  <si>
    <t>The sentiment is 'bullish' because the potential extension of OPEC+ production cuts implies a reduction in global oil supply, which would likely support oil prices and contribute to their upward momentum.</t>
  </si>
  <si>
    <t>Oilâ€™s Comeback Encourages U.S. Shale and Complicates OPEC+ Task</t>
  </si>
  <si>
    <t>https://www.bloomberg.com/news/articles/2020-06-01/oil-holds-above-35-on-demand-hopes-as-opec-mulls-cut-extension</t>
  </si>
  <si>
    <t>The sentiment is 'bullish' because the headline implies that the recovery in oil prices is encouraging US shale producers to increase output, which suggests a more optimistic outlook for the industry, although one could argue that the complicated task for OPEC+ might lead to increased volatility and uncertainty in the market.</t>
  </si>
  <si>
    <t>Oil Price Disruption Eases as Physical Crude Demand Jumps</t>
  </si>
  <si>
    <t>https://www.wsj.com/articles/oil-price-disruption-eases-as-physical-crude-demand-jumps-11590166173</t>
  </si>
  <si>
    <t>The sentiment is 'bullish' because the increase in physical crude demand suggests a strengthening of fundamental market conditions, which could support higher oil prices and alleviate recent supply glut concerns.</t>
  </si>
  <si>
    <t>Bain Capital Said to Target $9 Billion for New Buyout Fund</t>
  </si>
  <si>
    <t>https://www.bloomberg.com/news/articles/2020-05-15/bain-capital-is-said-to-target-9-billion-for-new-buyout-fund</t>
  </si>
  <si>
    <t>The sentiment is 'unrelated' because the article is discussing a private equity firm's fundraising efforts for a buyout fund, which has no direct connection to the oil market, making it unrelated to my area of expertise.</t>
  </si>
  <si>
    <t>Saudi Arabia will make further oil supply cut to â€˜encourageâ€™ peers</t>
  </si>
  <si>
    <t>https://www.ft.com/content/4981aab1-b9cf-45f0-b72a-1c289a5a99b6</t>
  </si>
  <si>
    <t>The sentiment is 'bullish' because the headline suggests that Saudi Arabia, a major oil producer, is willing to take proactive steps to reduce supply and support prices, which could lead to a tightening of the global oil market and a subsequent increase in prices.</t>
  </si>
  <si>
    <t>BP chief sees risk of oil demand passing peak as pandemic hits</t>
  </si>
  <si>
    <t>https://www.ft.com/content/21affff2-1e57-4000-a439-62cfef6344fb</t>
  </si>
  <si>
    <t>The sentiment is 'bearish' because the headline suggests that the BP chief expects oil demand to decline, which implies a decrease in oil prices, a bearish outlook for the oil market.</t>
  </si>
  <si>
    <t>Pandemic crisis offers glimpse into oil industryâ€™s future | Free to read</t>
  </si>
  <si>
    <t>https://www.ft.com/content/99fc40be-83aa-11ea-b872-8db45d5f6714</t>
  </si>
  <si>
    <t>The sentiment is 'bearish' because the article implies that the pandemic-induced crisis is a harbinger of the oil industry's long-term decline, highlighting the sector's vulnerabilities to demand disruptions and the accelerating energy transition.</t>
  </si>
  <si>
    <t>The Time-Dependent Lead-Lag Relationship Between WTI and Brent Crude Oil Spot Markets</t>
  </si>
  <si>
    <t>https://www.frontiersin.org/journals/physics/articles/10.3389/fphy.2020.00132/full</t>
  </si>
  <si>
    <t>The sentiment is 'unrelated' because the headline is simply stating a research topic or a phenomenon in the crude oil market, without expressing a positive, negative, or neutral opinion about it, thereby not conveying any emotional tone or sentiment.</t>
  </si>
  <si>
    <t>US crude prices tumble as worldâ€™s largest oil ETF cuts stake</t>
  </si>
  <si>
    <t>https://www.ft.com/content/a8a7dc16-1a9a-48f9-9bfa-89269f94218a</t>
  </si>
  <si>
    <t>The sentiment is 'bearish' because the reduction of stake in the world's largest oil ETF suggests a decrease in investor confidence and demand for oil, which can lead to a further decline in prices.</t>
  </si>
  <si>
    <t>U.S. oil plunges 25%, Brent falls below $20 a barrel</t>
  </si>
  <si>
    <t>https://www.reuters.com/article/world/us-oil-plunges-25-brent-falls-below-20-a-barrel-idUSKCN2280TQ/</t>
  </si>
  <si>
    <t>The sentiment is 'bearish' because a 25% plunge in U.S. oil prices and Brent falling below $20 a barrel are extremely sharp declines that indicate a strong downward trend in the market, suggesting a pessimistic outlook for oil prices.</t>
  </si>
  <si>
    <t>Bank of China Clients Said to Lose $1 Billion on Oil Bets</t>
  </si>
  <si>
    <t>https://www.bloomberg.com/news/articles/2020-04-26/bank-of-china-clients-said-to-have-1-billion-losses-on-oil-bet</t>
  </si>
  <si>
    <t>The sentiment is 'bearish' because the significant losses incurred by Bank of China clients on oil bets suggest a downturn in the oil market, which could lead to further price declines and increased market volatility.</t>
  </si>
  <si>
    <t>The 20 Minutes That Broke the U.S. Oil Market</t>
  </si>
  <si>
    <t>https://www.bloomberg.com/news/articles/2020-04-25/the-20-minutes-that-broke-the-u-s-oil-market</t>
  </si>
  <si>
    <t>The sentiment is 'bearish' because the phrase "broke the U.S. oil market" implies a significant and potentially catastrophic event that had a profoundly negative impact on the market, suggesting a downward pressure on oil prices and a pessimistic outlook.</t>
  </si>
  <si>
    <t>Think Oil Price Volatility Is Over? Think Again</t>
  </si>
  <si>
    <t>https://www.bloomberg.com/opinion/articles/2020-04-23/negative-oil-prices-in-dated-brent-are-more-troubling-than-wti</t>
  </si>
  <si>
    <t>The sentiment is 'bearish' because the headline suggests that the current relative stability in oil prices may be short-lived, and that market participants should be prepared for a return to more turbulent conditions, implying a potential downside risk to prices.</t>
  </si>
  <si>
    <t>Negative Oil Prices Pose Headache for Futures Giant CME</t>
  </si>
  <si>
    <t>https://www.wsj.com/articles/negative-oil-prices-pose-headache-for-futures-giant-cme-11587547802</t>
  </si>
  <si>
    <t>The sentiment is 'bearish' because the headline suggests that the unusual phenomenon of negative oil prices is causing difficulties for CME, a major futures exchange, implying that the oil market is experiencing significant disruptions and potential losses, which is typically associated with bearish sentiment.</t>
  </si>
  <si>
    <t>Can Brent Crude Oil Follow WTI Into Negative Territory? You Bet</t>
  </si>
  <si>
    <t>https://www.bloomberg.com/news/articles/2020-04-22/can-brent-crude-oil-follow-wti-into-negative-territory-you-bet</t>
  </si>
  <si>
    <t>The sentiment is 'bearish' because the headline implies that the price of Brent crude oil, which is currently in positive territory, could potentially fall into negative territory, indicating a pessimistic outlook on the oil market.</t>
  </si>
  <si>
    <t>Real Oil Price Plunge Pushes Major Producers to the Brink</t>
  </si>
  <si>
    <t>https://www.bloomberg.com/news/articles/2020-04-22/real-oil-prices-plunge-globally-with-space-to-store-running-out</t>
  </si>
  <si>
    <t>The sentiment is 'bearish' because the headline suggests that the oil price plunge is having a severely negative impact on major producers, implying a downturn in their fortunes and potentially even their viability, which would be a bearish indicator for the industry as a whole.</t>
  </si>
  <si>
    <t>June WTI Crude Could Also Turn Negative, Trafigura's Luckock Says</t>
  </si>
  <si>
    <t>https://www.bloomberg.com/news/videos/2020-04-21/june-wti-crude-could-also-turn-negative-trafigura-s-luckock-says-video</t>
  </si>
  <si>
    <t>The sentiment is 'bearish' because the headline suggests that the price of June WTI Crude could decline, which implies a pessimistic outlook on the market, aligning with a bearish sentiment.</t>
  </si>
  <si>
    <t>Oil Market Trading in Negative Territory After Record Crash</t>
  </si>
  <si>
    <t>https://www.bloomberg.com/news/articles/2020-04-20/oil-rebounds-from-record-wipeout-but-prices-stay-below-zero</t>
  </si>
  <si>
    <t>The sentiment is 'bearish' because the headline explicitly mentions a "record crash" in the oil market, implying a significant and unprecedented decline in oil prices, which is a strongly negative event that would likely deter investors and traders from entering the market.</t>
  </si>
  <si>
    <t>Oil Spirals Below Zero in â€˜Devastating Dayâ€™ for Global Industry</t>
  </si>
  <si>
    <t>https://www.bloomberg.com/news/articles/2020-04-20/oil-worth-less-than-nothing-points-to-a-deepening-global-crisis</t>
  </si>
  <si>
    <t>The sentiment is 'bearish' because the headline suggests a catastrophic event in the oil market, with prices plummeting below zero, implying a severe supply glut and a complete collapse of demand, which would have disastrous consequences for oil producers, refiners, and the entire global industry.</t>
  </si>
  <si>
    <t>International oil prices rebound following Trump warning</t>
  </si>
  <si>
    <t>https://www.ft.com/content/f878ae96-0b20-49fb-a997-30cb13b4bb77</t>
  </si>
  <si>
    <t>The sentiment is 'bullish' because the headline implies that international oil prices have risen in response to a warning from Trump, suggesting that the market is interpreting the warning as a potential supply disruption or reduction in global oil output, which would support higher prices.</t>
  </si>
  <si>
    <t>U.S. Oil Costs Less Than Zero After a Sharp Monday Selloff</t>
  </si>
  <si>
    <t>https://www.wsj.com/articles/why-oil-is-11-a-barrel-now-but-three-times-that-in-autumn-11587392745</t>
  </si>
  <si>
    <t>The sentiment is 'bearish' because the headline implies that the price of U.S. oil has fallen to unprecedentedly low levels, suggesting a significant downturn in the market, which is typically associated with a bearish sentiment.</t>
  </si>
  <si>
    <t>Oil trader Pierre Andurand cleans up in crudeâ€™s historic crash</t>
  </si>
  <si>
    <t>https://www.ft.com/content/1c8e9f81-bdcf-4b15-be6a-92cc88beca27</t>
  </si>
  <si>
    <t>The sentiment is 'bullish' because the headline suggests that Pierre Andurand, a renowned oil trader, has successfully profited from the historic crash in crude oil prices, implying that he has made savvy investment decisions and is likely to be optimistic about his future prospects in the oil market.</t>
  </si>
  <si>
    <t>What negative US oil prices mean for the industry | Free to read</t>
  </si>
  <si>
    <t>https://www.ft.com/content/88997d67-bf69-409e-8155-911fc1f2fd6f</t>
  </si>
  <si>
    <t>The sentiment is 'bearish' because negative US oil prices indicate a severe oversupply in the market, which can lead to reduced production, lower profits, and even bankruptcies for oil companies, ultimately weighing on the industry's overall performance.</t>
  </si>
  <si>
    <t>Oil Plunges Below Zero for First Time in Unprecedented Wipeout</t>
  </si>
  <si>
    <t>https://www.bloomberg.com/news/articles/2020-04-19/oil-drops-to-18-year-low-on-global-demand-crunch-storage-woes</t>
  </si>
  <si>
    <t>The sentiment is 'bearish' because a plunge in oil prices to below zero indicates a catastrophic imbalance in supply and demand, suggesting a severe lack of confidence in the market and implying further downward pressure on prices.</t>
  </si>
  <si>
    <t>US oil price takes new dive as market turmoil widens</t>
  </si>
  <si>
    <t>https://www.ft.com/content/26ea5ef9-0619-4e50-b605-58e36d3fc4d9</t>
  </si>
  <si>
    <t>The sentiment is 'bearish' because the headline suggests that the US oil price is declining, which implies a negative market sentiment and potential losses for investors, indicating a downward trend in the oil market.</t>
  </si>
  <si>
    <t>US oil price below zero for first time in history</t>
  </si>
  <si>
    <t>https://www.ft.com/content/a5292644-958d-4065-92e8-ace55d766654</t>
  </si>
  <si>
    <t>The sentiment is 'bearish' because a negative oil price indicates a massive surplus of oil in the market, which is a strong indicator of weak demand and a lack of storage capacity, ultimately leading to a downward pressure on oil prices.</t>
  </si>
  <si>
    <t>U.S. Oil Fund to Move Giant WTI Position as Market Sours</t>
  </si>
  <si>
    <t>https://www.bloomberg.com/news/articles/2020-04-17/u-s-oil-fund-to-move-giant-wti-position-as-market-sours</t>
  </si>
  <si>
    <t>The sentiment is 'bearish' because the headline suggests that the U.S. Oil Fund is unwinding its large West Texas Intermediate (WTI) position, implying a loss of confidence in the market and a potential sale of oil futures, which could put downward pressure on prices.</t>
  </si>
  <si>
    <t>What to Watch in Commodities: Virus, WTI, Alcoa, BHP, Chevron</t>
  </si>
  <si>
    <t>https://www.bloomberg.com/news/articles/2020-04-17/what-to-watch-in-commodities-virus-alcoa-bhp-chevron-gold</t>
  </si>
  <si>
    <t>The sentiment is 'neutral/uncertain' because the headline presents a mixed bag of factors that could potentially influence commodity markets, including a global health crisis, commodity prices, and earnings reports from key industry players, without taking a clear bullish or bearish stance.</t>
  </si>
  <si>
    <t>Oil Trading Hours UK: When is the Best Time to Trade Oil?</t>
  </si>
  <si>
    <t>https://www.ig.com/au/trading-strategies/oil-trading-hours--when-to-trade-crude-oil-200414</t>
  </si>
  <si>
    <t>The sentiment is 'unrelated' because the headline is primarily informational, focusing on providing factual details about the trading hours of oil in the UK, rather than expressing a positive, negative, or neutral emotional tone about the topic.</t>
  </si>
  <si>
    <t>Somebody Just Bet $10,000 on WTI Oil at 50 Cents a Barrel</t>
  </si>
  <si>
    <t>https://www.bloomberg.com/news/articles/2020-04-07/somebody-just-bet-10-000-on-wti-oil-at-50-cents-a-barrel</t>
  </si>
  <si>
    <t>The sentiment is 'bearish' because a bet on WTI oil at 50 cents a barrel implies a drastic decline in oil prices, which is an extremely pessimistic outlook on the market, suggesting that the bettor expects a catastrophic collapse in demand or a massive surge in supply.</t>
  </si>
  <si>
    <t>Oil price falls on doubts over Saudi-Russia supply deal</t>
  </si>
  <si>
    <t>https://www.ft.com/content/9c1b672f-7fc0-470b-8db6-ddf1874cb263</t>
  </si>
  <si>
    <t>The sentiment is 'bearish' because the headline suggests that a potential deal between Saudi Arabia and Russia to limit oil production and support prices is in doubt, which would likely lead to increased supply and downward pressure on prices.</t>
  </si>
  <si>
    <t>Oil Price Charts - Crude Oil Prices Today | OilPrice.com</t>
  </si>
  <si>
    <t>https://news.google.com/rss/articles/CBMiT0FVX3lxTE5zeFdKQ01ZN2hMT2g5YUJSMkNRSEM3em9MVTN1d2phNUszR2FKQUM1cml1TTU1ZUdJOGowNm8wemhrY19NZzloNDdBVjczVkk?oc=5</t>
  </si>
  <si>
    <t>The sentiment is 'unrelated' because the headline appears to be a neutral, factual title for a webpage or article that provides information on current oil prices, rather than expressing a emotional opinion or sentiment about the topic.</t>
  </si>
  <si>
    <t>Oil crash: why Saudi Arabia has started a global crude price war</t>
  </si>
  <si>
    <t>https://www.ft.com/content/59dcba56-61a2-11ea-b3f3-fe4680ea68b5</t>
  </si>
  <si>
    <t>The sentiment is 'bearish' because a global crude price war initiated by Saudi Arabia would likely lead to a surge in oil supplies, putting downward pressure on prices, which would negatively impact oil producers and related industries.</t>
  </si>
  <si>
    <t>Oil Crash Sends New Shock Through World Crippled by Virus</t>
  </si>
  <si>
    <t>https://www.bloomberg.com/news/articles/2020-03-09/oil-crash-sends-new-shock-through-world-crippled-by-virus</t>
  </si>
  <si>
    <t>The sentiment is 'bearish' because the headline suggests a sharp decline in oil prices, which would likely have a negative impact on oil producers, refiners, and related industries, thus warranting a bearish outlook.</t>
  </si>
  <si>
    <t>Oil Plunges Most Since 1991 After Producers Embark on Price War</t>
  </si>
  <si>
    <t>https://www.bloomberg.com/news/articles/2020-03-08/oil-in-freefall-after-saudis-slash-prices-in-all-out-crude-war</t>
  </si>
  <si>
    <t>The sentiment is 'bearish' because the phrase "Oil Plunges Most Since 1991" suggests a sharp and historic decline in oil prices, indicating a significant negative impact on the oil market and likely to be detrimental to oil producers and related industries.</t>
  </si>
  <si>
    <t>Saudi Arabia launches oil price war after Russia deal collapse</t>
  </si>
  <si>
    <t>https://www.ft.com/content/d700b71a-6122-11ea-b3f3-fe4680ea68b5</t>
  </si>
  <si>
    <t>The sentiment is 'bearish' because a price war typically leads to a surge in supply, which can cause oil prices to plummet, negatively impacting oil producers and the broader energy sector.</t>
  </si>
  <si>
    <t>Oilâ€™s Historic Tumble Illustrated in Charts</t>
  </si>
  <si>
    <t>https://www.bloomberg.com/news/articles/2020-03-09/these-five-charts-show-how-opec-breakup-is-roiling-oil-markets</t>
  </si>
  <si>
    <t>The sentiment is 'bearish' because the phrase "historic tumble" strongly implies a sharp and unusual decline in oil prices, which would be considered a negative event for oil producers and bullish investors, thus warranting a bearish sentiment.</t>
  </si>
  <si>
    <t>Coronavirus creates oil â€˜contangoâ€™ as supertanker rates dive</t>
  </si>
  <si>
    <t>https://www.ft.com/content/3fae7e7e-5164-11ea-90ad-25e377c0ee1f</t>
  </si>
  <si>
    <t>The sentiment is 'bearish' because the headline suggests that the coronavirus pandemic is causing a glut in the oil market, leading to a contango structure where spot prices are lower than futures prices, which is typically associated with oversupply and downward price pressure.</t>
  </si>
  <si>
    <t>Can the world kick its oil habit?</t>
  </si>
  <si>
    <t>https://www.ft.com/content/dddb57ec-4d2d-11ea-95a0-43d18ec715f5</t>
  </si>
  <si>
    <t>The sentiment is 'bearish' because the question itself implies a sense of urgency and concern about the world's reliance on oil, hinting that the current pace of transition to cleaner energies is insufficient, which could lead to volatility and downward pressure on oil prices.</t>
  </si>
  <si>
    <t>Recycling Crisis - Bloomberg</t>
  </si>
  <si>
    <t>https://www.bloomberg.com/view/quicktake/recycling-crisis</t>
  </si>
  <si>
    <t>The sentiment is 'unrelated' because the topic of recycling crisis is not directly related to the oil market, and as an oil market analyst, I wouldn't expect to see an immediate impact on oil prices or the broader oil market landscape from a recycling crisis.</t>
  </si>
  <si>
    <t>Brent Oil Set to Disappear as Crude-Price Benchmark Lives On - WSJ</t>
  </si>
  <si>
    <t>https://news.google.com/rss/articles/CBMiowFBVV95cUxObENORm1xczdOY0pzOHpURU1OR01hTWhBMlU5a1NzZEdWVl9URzVEb1A4Z0hWV2pmR2xHZUN1VzFwNU5TSzZRSHRVaFVSbjJzdFQyUjdtdnRHRjJ6Z1M1QlNaSGhTcXJXSm8tc2VvSUlmdE5CSHFwbGNqcnphVXZTa0swWENCTTRIYXhfdlk2LUZOZTkzWHlqcW1ibzh6U01yeGQ4?oc=5</t>
  </si>
  <si>
    <t>The sentiment is 'unrelated' because the headline is not expressing a clear emotional tone or opinion about the topic, instead, it's simply stating a factual change in the oil market, which doesn't evoke a sentiment of positivity, negativity, or neutrality.</t>
  </si>
  <si>
    <t>Brent Oil Set to Disappear as Crude-Price Benchmark Lives On</t>
  </si>
  <si>
    <t>https://www.wsj.com/articles/brent-oil-set-to-disappear-as-crude-price-benchmark-lives-on-11575284774</t>
  </si>
  <si>
    <t>The sentiment is 'unrelated' because the headline is more focused on the nuances of oil pricing benchmarks rather than expressing a clear positive, negative, or neutral emotion towards the oil market or Brent oil specifically.</t>
  </si>
  <si>
    <t>US is net exporter of oil for first time in decades</t>
  </si>
  <si>
    <t>https://www.ft.com/content/9cbba7b0-12dd-11ea-a7e6-62bf4f9e548a</t>
  </si>
  <si>
    <t>The sentiment is 'bullish' because this milestone indicates a significant shift in the country's energy independence, implying a reduction in reliance on foreign oil and a potential boost to the US economy through increased energy exports and revenues.</t>
  </si>
  <si>
    <t>Middle East keeps debt pumping to offset lower crude oil price</t>
  </si>
  <si>
    <t>https://www.ft.com/content/7794e7e0-023d-11ea-b7bc-f3fa4e77dd47</t>
  </si>
  <si>
    <t>The sentiment is 'bearish' because the article suggests that the Middle East is increasingly relying on debt to compensate for the decline in revenue due to lower crude oil prices, implying a negative outlook for the region's economic and financial stability.</t>
  </si>
  <si>
    <t>Brent crude continues its rocky ride</t>
  </si>
  <si>
    <t>https://www.ft.com/content/cdf7f378-d9f9-11e9-8f9b-77216ebe1f17</t>
  </si>
  <si>
    <t>The sentiment is 'bearish' because the phrase "rocky ride" implies a sense of uncertainty and volatility, suggesting that the value of Brent crude is experiencing a downward or sideways trend, rather than a steady upward climb.</t>
  </si>
  <si>
    <t>The Dow Is Falling and Oil Is Spiking After Saudi Arabia Was Attacked</t>
  </si>
  <si>
    <t>https://www.barrons.com/articles/saudi-arabia-attack-to-bring-turmoil-to-oil-markets-51568551934</t>
  </si>
  <si>
    <t>The sentiment is not 'bullish' because a spike in oil prices and a falling Dow usually indicate heightened geopolitical tensions and a risk-off sentiment in the market, which is typically bearish for stocks and the overall economy.</t>
  </si>
  <si>
    <t>Brent-WTI Spread to Widen Up, Stratas Advisors Says</t>
  </si>
  <si>
    <t>https://www.bloomberg.com/news/videos/2019-09-15/brent-wti-spread-to-widen-up-stratas-advisors-says-video</t>
  </si>
  <si>
    <t>The sentiment is 'bullish' because a widening Brent-WTI spread typically indicates a strengthening of Brent prices relative to WTI, which is often associated with a more optimistic outlook for global oil demand and prices.</t>
  </si>
  <si>
    <t>Oil price spikes as fears mount over Saudi supply disruption</t>
  </si>
  <si>
    <t>https://www.ft.com/content/353bce38-d806-11e9-8f9b-77216ebe1f17</t>
  </si>
  <si>
    <t>The sentiment is 'bullish' because the headline suggests that oil prices are increasing due to concerns over a potential supply disruption in Saudi Arabia, which implies a shortage in global oil supply and subsequently higher prices.</t>
  </si>
  <si>
    <t>FTC Antitrust Probe of Facebook Scrutinizes Its Acquisitions</t>
  </si>
  <si>
    <t>https://www.wsj.com/articles/ftc-antitrust-probe-of-facebook-scrutinizes-its-acquisitions-11564683965</t>
  </si>
  <si>
    <t>The sentiment is 'unrelated' because the headline discussing the FTC's antitrust probe of Facebook's acquisitions has no apparent connection to the oil market, and therefore is not relevant to my analysis or expertise as an oil market analyst.</t>
  </si>
  <si>
    <t>China defies US sanctions by tapping Iran oil supplies</t>
  </si>
  <si>
    <t>https://www.ft.com/content/6b944786-9809-11e9-8cfb-30c211dcd229</t>
  </si>
  <si>
    <t>The sentiment is 'bullish' because China's move to defy US sanctions and tap into Iran's oil supplies suggests an increase in global oil supply, which could put downward pressure on prices and benefit consumers, ultimately supporting a bullish market outlook.</t>
  </si>
  <si>
    <t>Congress, Enforcement Agencies Target Tech</t>
  </si>
  <si>
    <t>https://www.wsj.com/articles/ftc-to-examine-how-facebook-s-practices-affect-digital-competition-11559576731</t>
  </si>
  <si>
    <t>The sentiment is 'unrelated' because the headline appears to be discussing the relationship between Congress, enforcement agencies, and the tech industry, which has no obvious connection to the oil market, making it an unrelated topic from an oil market analyst's perspective.</t>
  </si>
  <si>
    <t>Oil Prices Slide on Demand Fears</t>
  </si>
  <si>
    <t>https://www.wsj.com/articles/oil-prices-sink-as-trade-tensions-limit-investors-appetite-for-risk-11559129654</t>
  </si>
  <si>
    <t>The sentiment is 'bearish' because the headline explicitly mentions "demand fears", implying that concerns about weaker consumption are driving oil prices lower, which is a negative indicator for the market.</t>
  </si>
  <si>
    <t>Statesâ€™ Abortion Curbs Put Supreme Court to the Test</t>
  </si>
  <si>
    <t>https://www.wsj.com/articles/states-abortion-curbs-put-supreme-court-to-the-test-11558085401</t>
  </si>
  <si>
    <t>The sentiment is 'unrelated' because the headline 'Statesâ€™ Abortion Curbs Put Supreme Court to the Test' appears to be discussing a socio-political issue, specifically the legality of abortion, which has no direct connection to the oil market or energy industry.</t>
  </si>
  <si>
    <t>Chevron agrees $50bn takeover of Anadarko Petroleum</t>
  </si>
  <si>
    <t>https://www.ft.com/content/b674c5e4-5d0a-11e9-9dde-7aedca0a081a</t>
  </si>
  <si>
    <t>The sentiment is 'bullish' because the acquisition of Anadarko Petroleum by Chevron will bolster Chevron's position as a leading global oil and gas producer, adding significant shale, deepwater, and LNG assets to its portfolio, which is likely to boost investor confidence and drive up the company's stock price.</t>
  </si>
  <si>
    <t>Oil Hits a Five-Month High as Libya Clashes Add to Supply Concerns</t>
  </si>
  <si>
    <t>https://www.bloomberg.com/news/articles/2019-04-07/oil-extends-rally-as-fighting-in-libya-adds-to-supply-concerns</t>
  </si>
  <si>
    <t>The sentiment is 'bullish' because the headline suggests that oil prices are rising due to supply concerns, implying that demand is strong and outpacing available supply, which is a positive indicator for oil prices.</t>
  </si>
  <si>
    <t>Norwayâ€™s $1tn wealth fund set to cut oil and gas stocks</t>
  </si>
  <si>
    <t>https://www.ft.com/content/d32142a8-418f-11e9-b896-fe36ec32aece</t>
  </si>
  <si>
    <t>The sentiment is 'bearish' because the divestment of oil and gas stocks by a major wealth fund like Norway's could lead to a decrease in investment and potentially lower demand for these assets, which could put downward pressure on the oil and gas sector's stock prices.</t>
  </si>
  <si>
    <t>South Sudan pledges to raise oil production to prewar levels</t>
  </si>
  <si>
    <t>https://www.ft.com/content/d2230352-369d-11e9-bd3a-8b2a211d90d5</t>
  </si>
  <si>
    <t>The sentiment is 'bullish' because an increase in oil production to prewar levels in South Sudan, a significant oil producer, is likely to boost global oil supplies, which could lead to lower prices and improved market sentiment.</t>
  </si>
  <si>
    <t>Opec cuts send crude exports to lowest since 2015</t>
  </si>
  <si>
    <t>https://www.ft.com/content/82cc09c0-345e-11e9-bb0c-42459962a812</t>
  </si>
  <si>
    <t>The sentiment is not 'bullish' because a cut in supply, as indicated by the headline, would typically lead to higher prices, which could be bearish for consumers and the economy, rather than bullish.</t>
  </si>
  <si>
    <t>Brentâ€™s Upside Likely to Be Capped at Around $70/Barrel</t>
  </si>
  <si>
    <t>https://www.wsj.com/articles/oil-maintains-tuesday-bounce-following-api-data-11548808085?mod=author_content_page_6_pos_4</t>
  </si>
  <si>
    <t>The sentiment is 'bearish' because the headline's suggestion that Brent's upside is likely to be capped at around $70/barrel implies that the analyst does not expect the price to rise above that level, implying a lack of optimism about the oil market's future performance.</t>
  </si>
  <si>
    <t>Canada's Oil Trades At Smallest Discount To WTI In A Decade</t>
  </si>
  <si>
    <t>https://oilprice.com/Energy/Oil-Prices/Canadas-Oil-Trades-At-Smallest-Discount-To-WTI-In-A-Decade.html</t>
  </si>
  <si>
    <t>The sentiment is 'bullish' because a narrowing discount to WTI suggests that Canadian oil is becoming more competitive in the global market, which could lead to increased exports and higher prices for Canadian producers.</t>
  </si>
  <si>
    <t>Oil prices zip higher with Opec production cuts in focus</t>
  </si>
  <si>
    <t>https://www.ft.com/content/e5c8e680-125b-11e9-a581-4ff78404524e</t>
  </si>
  <si>
    <t>The sentiment is 'bullish' because the focus on OPEC production cuts implies a potential reduction in global oil supply, which would likely lead to higher prices, supporting the "zip higher" phrase in the headline.</t>
  </si>
  <si>
    <t>Banks Sharply Lower Oil-Price Forecasts</t>
  </si>
  <si>
    <t>https://www.wsj.com/articles/banks-sharply-lower-oil-price-forecasts-11545647400</t>
  </si>
  <si>
    <t>The sentiment is 'bearish' because a sharp decline in oil-price forecasts by banks suggests a pessimistic outlook on the demand and supply dynamics of the oil market, implying a potential downward pressure on prices.</t>
  </si>
  <si>
    <t>Oil tumbles below $60 as Trump heaps pressure on Saudi Arabia</t>
  </si>
  <si>
    <t>https://www.ft.com/content/75c895a0-eeee-11e8-8180-9cf212677a57</t>
  </si>
  <si>
    <t>The sentiment is 'bearish' because the headline suggests that President Trump's pressure on Saudi Arabia is likely to lead to increased oil production, thereby putting downward pressure on prices.</t>
  </si>
  <si>
    <t>U.S. Oil Prices Rise From 2018 Lows</t>
  </si>
  <si>
    <t>https://www.wsj.com/articles/oil-finds-a-floor-after-huge-losses-1542197360</t>
  </si>
  <si>
    <t>The sentiment is 'bullish' because the rise in oil prices from 2018 lows indicates a reversal of the previous downtrend, suggesting that market fundamentals may be improving and demand may be overcoming supply, which could lead to further price increases.</t>
  </si>
  <si>
    <t>Frederick Douglass in Full (Published 2018)</t>
  </si>
  <si>
    <t>https://www.nytimes.com/2018/11/05/books/review/david-w-blight-frederick-douglass.html</t>
  </si>
  <si>
    <t>The sentiment is 'unrelated' because the headline 'Frederick Douglass in Full (Published 2018)' has no apparent connection to the oil market or any energy-related topic, making it irrelevant to an oil market analyst's area of expertise.</t>
  </si>
  <si>
    <t>US fears Russia will help Iran evade oil sanctions</t>
  </si>
  <si>
    <t>https://www.ft.com/content/441d66e4-d480-11e8-a854-33d6f82e62f8</t>
  </si>
  <si>
    <t>The sentiment is not 'bullish' because if Russia helps Iran evade oil sanctions, it could lead to increased oil supply in the global market, thereby putting downward pressure on prices, which would be bearish for the oil market.</t>
  </si>
  <si>
    <t>Permian Drillers Are Said to Sell New Lighter Crude Oil Grade</t>
  </si>
  <si>
    <t>https://www.bloomberg.com/news/articles/2018-10-17/permian-drillers-are-said-to-sell-new-lighter-crude-oil-grade</t>
  </si>
  <si>
    <t>The sentiment is 'bullish' because the introduction of a new, lighter crude oil grade by Permian drillers is likely to increase demand and boost prices for the region's oil, as lighter grades are often more desirable and easier to refine.</t>
  </si>
  <si>
    <t>Iran gets creative to beat sanctions and keep oil flowing</t>
  </si>
  <si>
    <t>https://www.ft.com/content/d5a39a98-cb1b-11e8-b276-b9069bde0956</t>
  </si>
  <si>
    <t>The sentiment is 'bullish' because the headline suggests that Iran is finding ways to circumvent sanctions and maintain its oil exports, which implies that the country's oil production and supply to the market will be more resilient than expected, supporting oil prices.</t>
  </si>
  <si>
    <t>WTI Curve Rallies on Fears of Cushing Crude Hitting Tank Bottoms</t>
  </si>
  <si>
    <t>https://www.bloomberg.com/news/articles/2018-09-21/wti-curve-rallies-on-fears-of-cushing-crude-hitting-tank-bottoms</t>
  </si>
  <si>
    <t>The sentiment is 'bullish' because the fears of Cushing crude hitting tank bottoms imply a potential shortage of storage capacity, which could lead to a surge in prices as producers and traders scramble to find alternative storage options.</t>
  </si>
  <si>
    <t>Kuwait and S Arabia eye 2019 opening of neutral zone oilfields</t>
  </si>
  <si>
    <t>https://www.ft.com/content/b1d19c06-9a69-11e8-88de-49c908b1f264</t>
  </si>
  <si>
    <t>The sentiment is 'bullish' because the planned reopening of the neutral zone oilfields, which have been shut since 2015, is likely to increase oil production and exports, potentially putting downward pressure on global oil prices and benefiting oil consumers and refiners.</t>
  </si>
  <si>
    <t>Turkish oil prices are almost triple the level they were in 2008, when Brent hit $147.50</t>
  </si>
  <si>
    <t>https://www.ft.com/content/b369b57a-9c95-11e8-ab77-f854c65a4465</t>
  </si>
  <si>
    <t>The sentiment is not 'bullish' because the statement is simply providing a factual observation about the increase in oil prices over a certain time period, without implying any positive outlook or optimism about the future direction of oil prices.</t>
  </si>
  <si>
    <t>Ethanol hopes rise as crude oil prices surge</t>
  </si>
  <si>
    <t>https://www.ft.com/content/4f1164fc-589c-11e8-bdb7-f6677d2e1ce8</t>
  </si>
  <si>
    <t>The sentiment is 'bullish' because the surge in crude oil prices increases the attractiveness of ethanol as a cheaper alternative, potentially leading to increased demand and revenue for ethanol producers.</t>
  </si>
  <si>
    <t>Supreme Court Ruling for New Jersey Opens Door to Sports Betting</t>
  </si>
  <si>
    <t>https://www.wsj.com/articles/supreme-court-ruling-for-new-jersey-opens-door-to-sports-betting-1526308430</t>
  </si>
  <si>
    <t>The sentiment is 'unrelated' because the article is about a Supreme Court ruling on sports betting in New Jersey, which has no apparent connection to the oil market.</t>
  </si>
  <si>
    <t>WSJ reporter talks Supreme Court, journalism during Conerly Lecture at MSU</t>
  </si>
  <si>
    <t>http://www.msstate.edu/newsroom/article/2018/03/wsj-reporter-talks-supreme-court-journalism-during-conerly-lecture-msu</t>
  </si>
  <si>
    <t>The sentiment is 'unrelated' because the headline appears to be about a journalist giving a lecture at a university, which has no apparent connection to the oil market or any energy-related topics, making it unrelated to my field of expertise as an oil market analyst.</t>
  </si>
  <si>
    <t>Forecasts for Oil Prices Rise for Fifth Straight Month</t>
  </si>
  <si>
    <t>https://www.wsj.com/articles/forecasts-for-oil-prices-rise-for-fifth-straight-month-1519801200</t>
  </si>
  <si>
    <t>The sentiment is 'bullish' because a fifth consecutive month of rising oil price forecasts indicates a strong and persistent upward trend in market expectations, suggesting that market participants are increasingly optimistic about the outlook for oil prices.</t>
  </si>
  <si>
    <t>Shale powers US oil output to heights of 1970</t>
  </si>
  <si>
    <t>https://www.ft.com/content/7da16504-06af-11e8-9650-9c0ad2d7c5b5</t>
  </si>
  <si>
    <t>The sentiment is 'bullish' because the headline suggests a significant increase in US oil output, reaching levels not seen in over 40 years, which implies a boost to the country's energy self-sufficiency and potential for increased exports, ultimately benefiting the oil industry and economy.</t>
  </si>
  <si>
    <t>Oil Prices Pressured by Rising U.S. Rig Count</t>
  </si>
  <si>
    <t>https://www.wsj.com/articles/oil-prices-pressured-by-rising-u-s-rig-count-1516015010</t>
  </si>
  <si>
    <t>The sentiment is 'bearish' because an increase in the U.S. rig count typically indicates an expected increase in oil production, which would lead to a surplus in the market, putting downward pressure on prices.</t>
  </si>
  <si>
    <t>Oil Prices in 2018: Once Again Itâ€™s All About U.S. Shale Output</t>
  </si>
  <si>
    <t>https://www.bloomberg.com/news/articles/2017-12-20/oil-prices-in-2018-once-again-it-s-all-about-u-s-shale-output</t>
  </si>
  <si>
    <t>The sentiment is 'bearish' because the article suggests that the increasing US shale output will lead to a supply glut, putting downward pressure on oil prices, which is a negative outlook for oil prices.</t>
  </si>
  <si>
    <t>Move Over, Cushing: Houston Emerges as Key Oil Trading Hub</t>
  </si>
  <si>
    <t>https://www.wsj.com/articles/move-over-cushing-houston-emerges-as-key-oil-trading-hub-1512561600</t>
  </si>
  <si>
    <t>The sentiment is 'bullish' because the emergence of Houston as a key oil trading hub suggests increased economic activity, investment, and job creation in the region, which would have a positive impact on the oil industry.</t>
  </si>
  <si>
    <t>Top crude oil trader Mike Muller to leave Shell</t>
  </si>
  <si>
    <t>https://www.ft.com/content/704a853e-cbbd-11e7-ab18-7a9fb7d6163e</t>
  </si>
  <si>
    <t>The sentiment is 'unrelated' because the departure of a top crude oil trader from Shell is a personnel move that does not have a direct impact on the oil market's fundamentals, such as supply and demand, and therefore does not influence the current price trend or market direction.</t>
  </si>
  <si>
    <t>Why unloading Vitolâ€™s supertanker signals oil rally will go on</t>
  </si>
  <si>
    <t>https://www.ft.com/content/487741c2-c560-11e7-a1d2-6786f39ef675</t>
  </si>
  <si>
    <t>The sentiment is 'bullish' because the unloading of Vitol's supertanker suggests that the oil market is finally starting to work off its oversupply, which is a crucial prerequisite for a sustained price rally.</t>
  </si>
  <si>
    <t>Oil price hits 2-year high as Saudi Arabia targets elite</t>
  </si>
  <si>
    <t>https://www.ft.com/content/2d461e2a-c1b2-11e7-a1d2-6786f39ef675</t>
  </si>
  <si>
    <t>The sentiment is 'bullish' because the headline suggests that Saudi Arabia, a dominant player in the global oil market, is taking actions that will likely lead to reduced oil supply, which would typically drive prices higher.</t>
  </si>
  <si>
    <t>Oilâ€™s Stint Above $50 Ends</t>
  </si>
  <si>
    <t>https://www.bloomberg.com/news/articles/2017-10-06/oil-buzz-a-brief-encounter-as-too-far-too-fast-rally-wanes</t>
  </si>
  <si>
    <t>The sentiment is 'bearish' because the headline implies that the price of oil has retreated from a level above $50, suggesting a loss of upward momentum and potentially signaling a downward trend.</t>
  </si>
  <si>
    <t>US oil futures market overtakes London</t>
  </si>
  <si>
    <t>https://www.ft.com/content/2d644842-9a51-11e7-b83c-9588e51488a0</t>
  </si>
  <si>
    <t>The sentiment is 'bullish' because the shift in dominance from London to the US oil futures market suggests a growing influence of US oil production and trade on global oil prices, which could lead to increased investment and activity in the US energy sector.</t>
  </si>
  <si>
    <t>FTC Approves Whole Foods-Amazon Merger</t>
  </si>
  <si>
    <t>https://www.wsj.com/articles/whole-foods-shareholders-approve-merger-with-amazon-1503498623</t>
  </si>
  <si>
    <t>The sentiment is 'unrelated' because the merger of Whole Foods and Amazon, a leading e-commerce company, does not have any direct impact on the oil market, and as an oil market analyst, it would not affect my analysis or forecasts.</t>
  </si>
  <si>
    <t>Crude Market Shows Enduring Strength Beyond Seasonal Peak</t>
  </si>
  <si>
    <t>https://www.bloomberg.com/news/articles/2017-08-18/crude-market-shows-enduring-strength-beyond-usual-seasonal-peak</t>
  </si>
  <si>
    <t>The sentiment is 'bullish' because the phrase "enduring strength" implies a sustained and robust upward trend in the crude market, even beyond the typical seasonal peak, which suggests that the market is likely to continue its upward momentum.</t>
  </si>
  <si>
    <t>Electric cars threaten Brunei plan for oil bonanza</t>
  </si>
  <si>
    <t>https://www.ft.com/content/c672ec70-7ba0-11e7-9108-edda0bcbc928</t>
  </si>
  <si>
    <t>The sentiment is 'bearish' because the article suggests that the growing popularity of electric cars could potentially disrupt Brunei's plans to capitalize on its oil reserves, implying a negative impact on the country's oil industry.</t>
  </si>
  <si>
    <t>Money managers raise bullish bets on Brent crude</t>
  </si>
  <si>
    <t>https://www.reuters.com/article/oil-ice-idUSEONH770T3/</t>
  </si>
  <si>
    <t>The sentiment is 'bullish' because the headline indicates that money managers are increasing their bets on Brent crude prices rising, suggesting a optimistic outlook on the oil market.</t>
  </si>
  <si>
    <t>Fund managers cut speculative bets on crude oil</t>
  </si>
  <si>
    <t>https://www.ft.com/content/457e8f9c-558b-11e7-80b6-9bfa4c1f83d2</t>
  </si>
  <si>
    <t>The sentiment is 'bearish' because a reduction in speculative bets on crude oil typically indicates a decrease in market optimism, suggesting that fund managers are becoming less confident in the oil price's potential to rise, which could lead to a downward pressure on prices.</t>
  </si>
  <si>
    <t>The real risks of the falling oil price</t>
  </si>
  <si>
    <t>https://www.ft.com/content/48d0ac89-3acf-351c-88bc-d55ecf45ae6c</t>
  </si>
  <si>
    <t>The sentiment is 'bearish' because the headline implies that the falling oil price poses significant threats or drawbacks, which is a pessimistic view that suggests potential negative consequences for the market or economy.</t>
  </si>
  <si>
    <t>What Is Crude Oil, and Why Is It Important to Investors?</t>
  </si>
  <si>
    <t>https://www.investopedia.com/terms/c/crude-oil.asp</t>
  </si>
  <si>
    <t>The sentiment is 'unrelated' because the headline is primarily educational in nature, providing a definition and explanation of crude oil's importance, rather than expressing a clear opinion or emotional tone that would elicit a positive, negative, or neutral sentiment.</t>
  </si>
  <si>
    <t>Opec and Russia poised to roll over oil output cuts</t>
  </si>
  <si>
    <t>https://www.ft.com/content/9d0c4e06-33d6-11e7-bce4-9023f8c0fd2e</t>
  </si>
  <si>
    <t>The sentiment is 'bullish' because the decision to roll over oil output cuts suggests that OPEC and Russia are committed to maintaining a tight market, which should support higher oil prices.</t>
  </si>
  <si>
    <t>Crude Oil May 25 (CL=F) Stock Price, News, Quote &amp; History</t>
  </si>
  <si>
    <t>https://ca.finance.yahoo.com/quote/CL=F/</t>
  </si>
  <si>
    <t>The sentiment is 'unrelated' because this headline is neutral and purely factual, simply providing a title for a webpage that displays information about crude oil prices, news, and history, without expressing any emotional tone or opinion.</t>
  </si>
  <si>
    <t>Oil finds support after hitting lowest price since November</t>
  </si>
  <si>
    <t>https://www.ft.com/content/aa7a4c7a-30c3-11e7-9555-23ef563ecf9a</t>
  </si>
  <si>
    <t>The sentiment is 'bullish' because the headline suggests that the oil price has stopped falling and is finding support, implying a potential reversal or stabilization of the downward trend, which is a positive development for oil prices.</t>
  </si>
  <si>
    <t>Symbol of North Sea oilâ€™s heyday towed into Teesside scrapyard</t>
  </si>
  <si>
    <t>https://www.ft.com/content/dd99f69c-2f5a-11e7-9555-23ef563ecf9a</t>
  </si>
  <si>
    <t>The sentiment is 'bearish' because the headline implies that a significant asset from the North Sea oil industry's heyday is being scrapped, signaling a decline in the industry's fortunes and potentially hinting at a decrease in oil production or investment in the region.</t>
  </si>
  <si>
    <t>Texas Drillers Face Threat of Too Much Oil, Too Few Pipelines</t>
  </si>
  <si>
    <t>https://www.bloomberg.com/news/articles/2017-03-30/pipe-capacity-tightness-to-haunt-permian-oil-producers-end-2017</t>
  </si>
  <si>
    <t>The sentiment is 'bearish' because a surplus of oil with insufficient pipeline capacity to transport it to market could lead to a supply glut, downward pressure on prices, and reduced profits for drillers in Texas.</t>
  </si>
  <si>
    <t>Kellyanne Conwayâ€™s Husband Is Set to Lead Justice Department Division</t>
  </si>
  <si>
    <t>https://www.wsj.com/articles/white-house-adviser-kellyanne-conways-husband-is-set-to-lead-justice-departments-civil-division-1489771204</t>
  </si>
  <si>
    <t>The sentiment is 'unrelated' because the headline about Kellyanne Conway's husband leading a Justice Department division has no direct connection to the oil market, and as an oil market analyst, it does not provide any relevant information or insight that could impact oil market trends or prices.</t>
  </si>
  <si>
    <t>ICE activated circuit breaker on Brent Crude oil contract</t>
  </si>
  <si>
    <t>https://www.fnlondon.com/articles/ice-activated-circuit-breaker-on-brent-crude-oil-contract-20141218</t>
  </si>
  <si>
    <t>The sentiment is 'bearish' because the activation of a circuit breaker on a futures contract, in this case Brent Crude oil, is typically a response to rapid and unexpected price movements, often downward, which can indicate a loss of confidence in the market and lead to further selling pressure.</t>
  </si>
  <si>
    <t>Oil Price Forecast to Stay Below $60 Through Next Year</t>
  </si>
  <si>
    <t>https://www.wsj.com/articles/oil-price-forecast-to-stay-below-60-through-next-year-1442937035</t>
  </si>
  <si>
    <t>The sentiment is 'bearish' because a forecast of prices staying below $60 through next year implies a lack of upward momentum and potentially even further declines, which would be unfavorable for oil producers and bullish investors.</t>
  </si>
  <si>
    <t>Don't Attack Saddam</t>
  </si>
  <si>
    <t>https://www.wsj.com/articles/SB1029371773228069195</t>
  </si>
  <si>
    <t>The sentiment is 'bullish' because a non-attack on Saddam would likely lead to a more stable Middle East, which would in turn reduce the risk of oil supply disruptions and put downward pressure on oil prices.</t>
  </si>
  <si>
    <t>U.S. Energy Information Administration - EIA - Independent Statistics and Analysis</t>
  </si>
  <si>
    <t>https://www.eia.gov/finance/markets/crudeoil/supply-opec.php</t>
  </si>
  <si>
    <t>The sentiment is 'unrelated' because the headline simply presents a neutral, factual description of the U.S. Energy Information Administration (EIA) as a source of independent statistics and analysis, without expressing any emotional tone or opinion that could be classified as positive, negative, or mixed.</t>
  </si>
  <si>
    <t>The Year in Markets: 2016 in Nine Charts</t>
  </si>
  <si>
    <t>http://www.wsj.com/graphics/year-in-markets-2016-in-nine-charts/</t>
  </si>
  <si>
    <t>The sentiment is 'unrelated' because the headline does not express a clear opinion or emotion about the events of 2016 in markets, and instead presents a neutral, factual summary of the year's market trends in a visual format.</t>
  </si>
  <si>
    <t>The oil price: what to watch at the end of a volatile year</t>
  </si>
  <si>
    <t>https://www.ft.com/content/5a561518-a5a3-11e6-8898-79a99e2a4de6</t>
  </si>
  <si>
    <t>The sentiment is 'unrelated' because the headline is neutral and purely informative, providing a factual summary of the topic, without expressing a clear positive, negative, or emotional tone, thus making it unrelated to any sentiment.</t>
  </si>
  <si>
    <t>Crude Oil Futures Price Today (WTI)</t>
  </si>
  <si>
    <t>https://www.investing.com/commodities/crude-oil</t>
  </si>
  <si>
    <t>The sentiment is 'neutral/uncertain' because the headline simply reports on the current price of crude oil futures without expressing a clear opinion or providing any contextual information that might indicate a bullish or bearish tone.</t>
  </si>
  <si>
    <t>Ricky Gervais on the harsh new world of work</t>
  </si>
  <si>
    <t>https://www.ft.com/content/b1644fd2-54c2-11e6-9664-e0bdc13c3bef</t>
  </si>
  <si>
    <t>The sentiment is 'unrelated' because the topic of Ricky Gervais' opinion on the modern work environment has no connection or relevance to the oil market, and therefore, does not evoke a positive, negative, or neutral sentiment related to the oil market.</t>
  </si>
  <si>
    <t>Why the WTI Crude Oil Price Is Falling Today</t>
  </si>
  <si>
    <t>https://moneymorning.com/2016/06/14/why-the-wti-crude-oil-price-is-falling-today/?xcode=X304TA11&amp;sid1=X304TA11</t>
  </si>
  <si>
    <t>The sentiment is 'bearish' because the headline suggests that the price of WTI crude oil is declining, which implies a negative outlook on the market and a potential loss of value for investors and producers.</t>
  </si>
  <si>
    <t>North Sea oil: The Â£30bn break-up</t>
  </si>
  <si>
    <t>https://www.ft.com/content/b3255c92-2bca-11e6-a18d-a96ab29e3c95</t>
  </si>
  <si>
    <t>The sentiment is 'bearish' because the implied "break-up" of the North Sea oil industry likely refers to a decline or dismantling of the industry, which would have negative implications for investment, production, and the overall health of the sector.</t>
  </si>
  <si>
    <t>Trump Says Judgeâ€™s Mexican Heritage Presents â€˜Absolute Conflictâ€™</t>
  </si>
  <si>
    <t>https://www.wsj.com/articles/donald-trump-keeps-up-attacks-on-judge-gonzalo-curiel-1464911442</t>
  </si>
  <si>
    <t>The sentiment is 'unrelated' because the headline about Trump's comments on a judge's heritage has no apparent connection to the oil market, and therefore, as an oil market analyst, I wouldn't expect to find any relevance or impact of this news on oil prices or market trends.</t>
  </si>
  <si>
    <t>Asia-Pacific Markets Up as Brent Crude Nears $50 a Barrel</t>
  </si>
  <si>
    <t>https://www.wsj.com/articles/high-oil-prices-help-sentiment-in-asia-pacific-markets-1463456025?mod=searchresults&amp;page=8&amp;pos=17</t>
  </si>
  <si>
    <t>The sentiment is 'bullish' because a Brent crude price nearing $50 a barrel suggests a rebound in global demand and economic activity, which is often associated with a positive outlook for equities and commodities in the Asia-Pacific region.</t>
  </si>
  <si>
    <t>Crude Mystery: Where Did 800,000 Barrels of Oil Go? - WSJ</t>
  </si>
  <si>
    <t>https://news.google.com/rss/articles/CBMikgFBVV95cUxPWGRXQVBGUWtXSVBqZmJnVnc3U2FWSDBidUR4Nm5iZmdPWVdnUnJpZDZ4c2l5VTJvdHRBd0R1bU93dGZ1RVAxS1VUNVRrWk9ZdDQ0d0QxMld0R0JEdWZXaF80cFRYYnFLZzNWRnl0azhyS0wxM2k5SUpXQkc3ZjltcDhEVVp6UmtQSmZjOVdyTzduZw?oc=5</t>
  </si>
  <si>
    <t>The sentiment is not 'bullish' because the disappearance of 800,000 barrels of oil from the market could be due to various reasons, including inventory distortions, pipeline outages, or even errors in reporting, rather than a sudden surge in demand or a significant reduction in supply, which would be necessary to justify a bullish sentiment.</t>
  </si>
  <si>
    <t>Speculators raise bullish bets on Brent crude</t>
  </si>
  <si>
    <t>https://www.reuters.com/article/business/speculators-raise-bullish-bets-on-brent-crude-idUSKCN0VV17D/</t>
  </si>
  <si>
    <t>The sentiment is 'bullish' because an increase in speculative bets on Brent crude suggests that market participants expect the price of oil to rise, indicating a positive outlook on the market.</t>
  </si>
  <si>
    <t>First US oil tanker arrives in Europe</t>
  </si>
  <si>
    <t>https://www.ft.com/content/195ffcea-bf99-11e5-846f-79b0e3d20eaf</t>
  </si>
  <si>
    <t>The sentiment is 'bullish' because the arrival of the first US oil tanker in Europe signals a new source of supply, potentially increasing competition and putting downward pressure on prices, which could benefit European refiners and consumers.</t>
  </si>
  <si>
    <t>Chart that tells a story â€” oil price slide</t>
  </si>
  <si>
    <t>https://www.ft.com/content/6caffe70-bac3-11e5-b151-8e15c9a029fb</t>
  </si>
  <si>
    <t>The sentiment is 'bearish' because a decline in oil prices, as implied by the headline, typically indicates a decrease in demand or an increase in supply, which is generally considered a negative development for oil producers and investors.</t>
  </si>
  <si>
    <t>Al Jazeera to Shut Down American News Channel - WSJ</t>
  </si>
  <si>
    <t>https://news.google.com/rss/articles/CBMijAFBVV95cUxOVlQ5THc3bld4SEFBYkZJcl9EUl91X0xhRng2R0J6Z29Yd1VZZkhQaVA1SWxZRmhiWnpKWktOOEIxQjk3dFRES3ZFUkFmVFJKRTJPX1g3VVZDSG9OeHB4WC1DZVNEM1lKRHFhd3RHLTZ3RVFqMTVCcy0wNHNSWXZhVUQzRXNUcHltVTktbQ?oc=5</t>
  </si>
  <si>
    <t>The sentiment is 'unrelated' because the closure of Al Jazeera's American news channel has no direct impact on the global oil market or oil prices, making it an inconsequential event from an oil market analyst's perspective.</t>
  </si>
  <si>
    <t>Supreme Court Denies Nestle, Cargill, ADM Appeal in Slave Labor Case</t>
  </si>
  <si>
    <t>http://www.wsj.com/articles/supreme-court-denies-nestle-cargill-adm-appeal-in-slave-labor-case-1452526492</t>
  </si>
  <si>
    <t>The sentiment is 'unrelated' because this news headline appears to be a human rights and legal issue, with no apparent connection to the oil market, and therefore would not be expected to have a direct impact on oil prices or market trends.</t>
  </si>
  <si>
    <t>Brent Crude Prices Fall to 11-Year Low</t>
  </si>
  <si>
    <t>http://www.wsj.com/articles/oil-prices-fall-to-11-year-low-1452074961</t>
  </si>
  <si>
    <t>The sentiment is 'bearish' because a fall in Brent Crude prices to an 11-year low indicates a significant decline in demand, oversupply, or economic weakness, which is typically viewed as a negative development for oil prices and the overall energy market.</t>
  </si>
  <si>
    <t>Brent crude oil slides below $35 for first time since 2004</t>
  </si>
  <si>
    <t>https://www.ft.com/content/06f747ac-b45e-11e5-b147-e5e5bba42e51</t>
  </si>
  <si>
    <t>The sentiment is 'bearish' because a decline in oil prices to a level not seen in over 15 years suggests a significant imbalance in the market, with supply outpacing demand, and is likely to have a negative impact on oil producers and related industries.</t>
  </si>
  <si>
    <t>Merger of Dow, DuPont Likely to Get Close Antitrust Scrutiny</t>
  </si>
  <si>
    <t>http://www.wsj.com/articles/merger-of-dow-dupont-likely-to-get-close-antitrust-scrutiny-1449709088</t>
  </si>
  <si>
    <t>The sentiment is 'unrelated' because the headline appears to be discussing a merger in the chemicals industry, which is not directly related to the oil market, and therefore does not convey a positive, negative, or neutral sentiment about the oil market.</t>
  </si>
  <si>
    <t>Brent up 1 percent on short-covering; U.S. crude down, just above $40</t>
  </si>
  <si>
    <t>https://www.reuters.com/article/us-global-oil/brent-up-1-percent-on-short-covering-u-s-crude-down-just-above-40-idUKKCN0T901X20151120/</t>
  </si>
  <si>
    <t>The sentiment is 'unrelated' because the headline is simply reporting on the current market prices and movements of Brent and U.S. crude oil, without expressing a positive, negative, or neutral opinion or emotional tone.</t>
  </si>
  <si>
    <t>Nate Berkus and Jeremiah Brent Ask $10.5 Million for Decked-Out Duplex</t>
  </si>
  <si>
    <t>http://www.wsj.com/articles/nate-berkus-and-jeremiah-brent-ask-10-5-million-for-decked-out-duplex-1448032153</t>
  </si>
  <si>
    <t>The sentiment is 'unrelated' because the headline about Nate Berkus and Jeremiah Brent's real estate listing has no bearing on the oil market or any aspect of the energy industry, making it irrelevant to my area of expertise.</t>
  </si>
  <si>
    <t>Inside Nate Berkus and Jeremiah Brentâ€™s New York Home</t>
  </si>
  <si>
    <t>https://www.wsj.com/articles/inside-nate-berkus-and-jeremiah-brents-new-york-home-1448032271?tesla=y</t>
  </si>
  <si>
    <t>The sentiment is 'unrelated' because a headline about a celebrity's home has no connection to the oil market or any relevant economic or financial indicator, making it unrelated to the field of oil market analysis.</t>
  </si>
  <si>
    <t>Oil Rises From 6-Year Lows, But Fall Expected to Resume</t>
  </si>
  <si>
    <t>http://www.wsj.com/articles/oil-futures-fall-wti-crude-hovers-near-40-a-barrel-1440049282</t>
  </si>
  <si>
    <t>The sentiment is 'bearish' because despite the short-term rebound, the headline suggests that the downturn in oil prices is not over and a further decline is expected, implying a negative outlook for the market.</t>
  </si>
  <si>
    <t>Canadaâ€™s Largest Refinery Shifts from Bakken Shale Oil to Brent Crudes</t>
  </si>
  <si>
    <t>http://www.wsj.com/articles/irving-oil-to-invest-in-turnaround-project-at-saint-john-refinery-1440080588</t>
  </si>
  <si>
    <t>The sentiment is 'bullish' because the shift to Brent crudes, which are often considered to be a more profitable and lower-sulfur feedstock, could improve the refinery's margins and competitiveness in the global market, ultimately benefiting its owners and stakeholders.</t>
  </si>
  <si>
    <t>Trading Correlation Between USD/CAD and WTI Crude Oil</t>
  </si>
  <si>
    <t>https://www.financemagnates.com/forex/analysis/trading-correlation-between-usdcad-and-wti-crude-oil/</t>
  </si>
  <si>
    <t>The sentiment is not 'unrelated' because the USD/CAD currency pair is heavily influenced by the price of WTI crude oil, as Canada is a major oil exporter, and changes in oil prices can impact the value of the Canadian dollar against the US dollar.</t>
  </si>
  <si>
    <t>Allergan signals appetite for new mega deal after $41bn disposal</t>
  </si>
  <si>
    <t>https://www.ft.com/content/2bd1061a-3495-11e5-bdbb-35e55cbae175</t>
  </si>
  <si>
    <t>The sentiment is 'unrelated' because this headline appears to be about a pharmaceutical company's M&amp;A activities and asset disposal, which has no connection to the oil market, making it an unrelated news item from an oil market analyst's perspective.</t>
  </si>
  <si>
    <t>Oil options pit empties on eve of CME futures shutdown</t>
  </si>
  <si>
    <t>https://www.ft.com/content/7dec2160-2143-11e5-aa5a-398b2169cf79</t>
  </si>
  <si>
    <t>The sentiment is 'bearish' because the shutdown of CME futures and the resulting emptying of the oil options pit may indicate a lack of market confidence and reduced trading activity, which can lead to downward price pressure on oil.</t>
  </si>
  <si>
    <t>The oil cash-and-carry trade does the shipping tanker contango</t>
  </si>
  <si>
    <t>https://www.ft.com/content/7cba8350-10df-11e5-8413-00144feabdc0</t>
  </si>
  <si>
    <t>The sentiment is 'bullish' because a contango in the shipping tanker market, driven by the cash-and-carry trade, implies a strong demand for oil storage and transportation, which is typically a sign of a tight oil market and higher prices.</t>
  </si>
  <si>
    <t>The Botox initiation of Brent Saunders, Actavis chief executive</t>
  </si>
  <si>
    <t>https://www.ft.com/content/13966122-f2a9-11e4-b914-00144feab7de</t>
  </si>
  <si>
    <t>The sentiment is 'unrelated' because the headline appears to be discussing a pharmaceutical company executive and Botox, which has no apparent connection to the oil market.</t>
  </si>
  <si>
    <t>This Crude Oil Price Chart Shows Where Futures Will Go in 2015</t>
  </si>
  <si>
    <t>https://moneymorning.com/2015/05/15/this-crude-oil-price-chart-shows-where-futures-will-go-in-2015/</t>
  </si>
  <si>
    <t>The sentiment is 'bullish' because the chart analysis is suggesting that crude oil prices will likely rise in 2015, implying an optimistic outlook for oil futures.</t>
  </si>
  <si>
    <t>United Nations of Brent</t>
  </si>
  <si>
    <t>https://widerimage.reuters.com/story/united-nations-of-brent</t>
  </si>
  <si>
    <t>The sentiment is 'unrelated' because the term "United Nations of Brent" is a colloquialism used to describe the global importance of Brent crude oil, which is a specific type of oil used as a benchmark for pricing, and does not convey a sentiment or opinion about the oil market, but rather a descriptive phrase highlighting its significance.</t>
  </si>
  <si>
    <t>Justices Appear Divided, Cautious on Gay Marriage</t>
  </si>
  <si>
    <t>http://www.wsj.com/articles/supreme-court-hears-gay-marriage-arguments-1430231161</t>
  </si>
  <si>
    <t>The sentiment is 'unrelated' because the headline 'Justices Appear Divided, Cautious on Gay Marriage' has no discernible connection to the oil market or energy sector, making it irrelevant to my area of expertise.</t>
  </si>
  <si>
    <t>Inside the U.S. Antitrust Probe of Google</t>
  </si>
  <si>
    <t>http://www.wsj.com/articles/inside-the-u-s-antitrust-probe-of-google-1426793274</t>
  </si>
  <si>
    <t>The sentiment is 'unrelated' because the headline 'Inside the U.S. Antitrust Probe of Google' has no connection to the oil market or any energy-related news, making it an unrelated topic for an oil market analyst like myself.</t>
  </si>
  <si>
    <t>The big drop: Riyadhâ€™s oil gamble</t>
  </si>
  <si>
    <t>https://www.ft.com/content/25f2d7d6-c3f8-11e4-a02e-00144feab7de</t>
  </si>
  <si>
    <t>The sentiment is 'bearish' because the phrase "The big drop" implies a significant decline in oil prices or production, which would negatively impact the oil market and Saudi Arabia's economy, aligning with a bearish outlook.</t>
  </si>
  <si>
    <t>Business starts at school in this golden age for young founders</t>
  </si>
  <si>
    <t>https://www.ft.com/content/1f050bd6-c0d0-11e4-876d-00144feab7de</t>
  </si>
  <si>
    <t>The sentiment is 'unrelated' because the headline appears to be discussing entrepreneurship and education, which has no apparent connection to the oil market, making it an unrelated topic from the perspective of an oil market analyst.</t>
  </si>
  <si>
    <t>What is the oil crash going to do to Canada?</t>
  </si>
  <si>
    <t>https://www.ft.com/content/b4b102c4-2d35-3dfa-b0c8-d9e0dbc7658e</t>
  </si>
  <si>
    <t>The sentiment is 'bearish' because a decline in oil prices, often referred to as an "oil crash," would likely have a significantly negative impact on Canada's economy, which is heavily reliant on oil exports, leading to reduced government revenue, potential job losses, and decreased economic growth.</t>
  </si>
  <si>
    <t>Book Review: â€˜Charles Waltersâ€™ by D701</t>
  </si>
  <si>
    <t>http://online.wsj.com/articles/book-review-charles-walters-by-brent-phillips-1420835193</t>
  </si>
  <si>
    <t>The sentiment is 'unrelated' because the headline appears to be a book review, which has no apparent connection to the oil market, making it unrelated to the expertise of an oil market analyst.</t>
  </si>
  <si>
    <t>WTI Falls Below $50 a Barrel First Time in 5 1/2 Years</t>
  </si>
  <si>
    <t>https://www.bloomberg.com/news/articles/2015-01-05/brent-oil-falls-below-55-a-barrel-for-first-time-in-5-1-2-years</t>
  </si>
  <si>
    <t>The sentiment is 'bearish' because a decline in WTI prices to levels not seen in 5 1/2 years suggests a significant decrease in demand or a surplus of supply, which could have negative implications for oil producers, refiners, and the overall energy market.</t>
  </si>
  <si>
    <t>The Wall Street Journal Experience</t>
  </si>
  <si>
    <t>https://www.3blmedia.com/news/wall-street-journal-experience</t>
  </si>
  <si>
    <t>The sentiment is 'unrelated' because the headline "The Wall Street Journal Experience" does not convey any sentiment or emotion, nor does it contain any information that is directly related to the oil market or any other specific industry, making it neutral and unrelated to my area of expertise.</t>
  </si>
  <si>
    <t>USD to SGD Exchange Rate - Bloomberg.com</t>
  </si>
  <si>
    <t>https://news.google.com/rss/articles/CBMiVEFVX3lxTE9uYk1CZlQ1MHRWN1VrTnRNbVFGd3VMcU9ETUlNRXpFX09ZUWhrdnR4bkZzeWcza2w1c1lHZ1c3ekRLTUdKeHoyNmRoRVUtZzRzM1kwWA?oc=5</t>
  </si>
  <si>
    <t>The sentiment is 'unrelated' because the headline is about the exchange rate between the US dollar and the Singapore dollar, which has no direct or obvious connection to the oil market.</t>
  </si>
  <si>
    <t>Energy Boom Puts Wells in America's Backyards - WSJ</t>
  </si>
  <si>
    <t>https://news.google.com/rss/articles/CBMikgFBVV95cUxQMzV5Yk9Ka3BITllHOUNoSlFtRHlBLVUwMTQ1TERLZ2xDdlhtUXMwRUFMaVIySm1xcWY3d0dxaGN1ZlI1NUp4cEtnOWRaeGdYSkRIZ3RKNFlwZ0UzY09NcVlEX3pCN2d2MVhWdU15Vmw3V3NzX0VZakF5WWZVQU5fajE0NEdYd25KaW9wdUs5eHptZw?oc=5</t>
  </si>
  <si>
    <t>The sentiment is 'bullish' because an energy boom that puts wells in America's backyards suggests an increase in domestic energy production, which could lead to increased oil and gas supply, lower prices, and a boost to the overall economy.</t>
  </si>
  <si>
    <t>Crack Spread 101 (Part 1: Whatâ€™s a crack spread?)</t>
  </si>
  <si>
    <t>https://finance.yahoo.com/news/crack-spread-101-part-1-150706378.html</t>
  </si>
  <si>
    <t>The sentiment is 'unrelated' because the headline is an educational or informative piece that simply introduces a concept in the oil market without expressing a opinion, emotion, or attitude towards it, hence it does not convey a positive, negative, or neutral sentiment.</t>
  </si>
  <si>
    <t>Brent crude ends lower on weak economic data, rising fuel stocks</t>
  </si>
  <si>
    <t>https://www.reuters.com/article/amp/idUSEAP10N50020130205?edition-redirect=in</t>
  </si>
  <si>
    <t>The sentiment is 'bearish' because the headline suggests that weak economic data, which implies reduced demand for oil, and rising fuel stocks, which indicates a surplus in supply, are both bearish indicators that would likely put downward pressure on oil prices.</t>
  </si>
  <si>
    <t>Platts Changes Brent Price Formula</t>
  </si>
  <si>
    <t>http://online.wsj.com/article/SB10001424053111903927204576574501770547830.html</t>
  </si>
  <si>
    <t>The sentiment is 'unrelated' because the headline "Platts Changes Brent Price Formula" is a neutral, factual report on a specific event in the oil market, lacking any emotional tone or subjective commentary that would indicate a positive, negative, or mixed sentiment.</t>
  </si>
  <si>
    <t>Brent crude gains as US oil release meets resistance</t>
  </si>
  <si>
    <t>https://www.reuters.com/article/ozabs-markets-oil-20120820-idAFJOE87J01220120820/</t>
  </si>
  <si>
    <t>The sentiment is 'bullish' because the resistance to the US oil release suggests that the market is not heavily impacted by the additional supply, which may lead to a tighter market balance and thus higher prices.</t>
  </si>
  <si>
    <t>Hello Brent contango</t>
  </si>
  <si>
    <t>https://www.ft.com/content/1ea67fdc-f99e-3cc0-a48b-4601d9ae304b</t>
  </si>
  <si>
    <t>The sentiment is 'bullish' because a contango market structure, where near-month prices are lower than longer-dated prices, indicates a well-supplied market and encourages traders to store oil, which can lead to higher prices in the future as demand catches up with supply.</t>
  </si>
  <si>
    <t>Expanded Oil Drilling Helps U.S.Wean Itself From Mideast - WSJ</t>
  </si>
  <si>
    <t>https://news.google.com/rss/articles/CBMihAFBVV95cUxNOWItbk1FckZkc3kxNUoxRVRlNGFkZGNjNHV0eXVkOW04Q0trZklhUnRsSzVXS05kRWVYT1BPTVo4OHgwREVmZzIwdG9Gb1RINXA3Zk9USk1TTTJ2M2JHLUYxYjFIc0hNVDNkYTFhQmowQlpWcVQ2YkJ0Mnd4OFN4UXc2LTg?oc=5</t>
  </si>
  <si>
    <t>The sentiment is 'bullish' because the headline suggests that expanded oil drilling will lead to increased domestic production, reducing the country's reliance on imported oil from the Middle East, which could lead to more stable and potentially lower oil prices, benefiting the US economy.</t>
  </si>
  <si>
    <t>Brent Bambury: People like Caitlin Kline are sowing the real seeds of Occupy</t>
  </si>
  <si>
    <t>https://www.cbc.ca/news/canada/brent-bambury-people-like-caitlin-kline-are-sowing-the-real-seeds-of-occupy-1.1203345</t>
  </si>
  <si>
    <t>The sentiment is 'unrelated' because the headline appears to be discussing the Occupy movement and its potential roots, which has no obvious connection to the oil market or Brent Bambury's profession as an oil market analyst.</t>
  </si>
  <si>
    <t>Brent crude hits record high in euros</t>
  </si>
  <si>
    <t>https://www.reuters.com/article/2012/02/23/markets-oil-idUSL4E8DN1CJ20120223?feedType=RSS&amp;feedName=rbssEnergyNews&amp;rpc=43</t>
  </si>
  <si>
    <t>The sentiment is 'bullish' because a record high price in euros suggests strong demand and limited supply, which is a positive indicator for oil producers and those invested in the energy sector.</t>
  </si>
  <si>
    <t>Gasoline Prices and Brent WTI Spread</t>
  </si>
  <si>
    <t>https://www.calculatedriskblog.com/2011/11/gasoline-prices-and-brent-wti-spread.html</t>
  </si>
  <si>
    <t>The sentiment is 'bullish' because a widening Brent-WTI spread can indicate stronger demand for crude oil, which, combined with rising gasoline prices, suggests a tightening supply-demand balance, supporting higher oil prices.</t>
  </si>
  <si>
    <t>Daniel Yergin: What's Wrong With Peak Oil - WSJ</t>
  </si>
  <si>
    <t>https://news.google.com/rss/articles/CBMihAFBVV95cUxQSnA4X29oS3NmZ28xMi1CNDEwVDN3Yjh0N0ZxMEI1Y2MwcnpvNmpJc1Z2WWtrYXlpTm11dVJLc3VIV3ppUEZSWHhHU3Z6ZHJiMWNldVNyRm5ycjFCUjZvQXN6S2JhZks2VDQ1M1ZXbktOV25KY1NraldGbFRKVE1VU1RJR3Y?oc=5</t>
  </si>
  <si>
    <t>The sentiment is 'bullish' because Daniel Yergin, a renowned energy expert, is arguing against the concept of peak oil, implying that oil supply will not dwindle as rapidly as some predict, which could lead to a more optimistic outlook on the oil market.</t>
  </si>
  <si>
    <t>BRENT CRUDE FUTURES UP $1 AT $117.26/BBL</t>
  </si>
  <si>
    <t>https://www.reuters.com/article/brent-crude-futures-up-1-at-11726-bbl-idUSN1E76E0AW20110715/</t>
  </si>
  <si>
    <t>The sentiment is 'bullish' because the futures price of Brent crude oil has increased by $1, indicating a rise in demand and/or optimism about the oil market, which is typically associated with a positive outlook.</t>
  </si>
  <si>
    <t>U.S. Gulf Crude Premiums Strengthen as Brent-WTI Gap Steady</t>
  </si>
  <si>
    <t>https://www.bloomberg.com/news/articles/2011-03-18/u-s-gulf-crude-premiums-strengthen-as-brent-wti-gap-steady</t>
  </si>
  <si>
    <t>The sentiment is 'bullish' because a strengthening premium for U.S. Gulf crude suggests increased demand or tightening supply in the region, which is a positive indicator for crude prices.</t>
  </si>
  <si>
    <t>High Court Rules in Favor of Protesters at Military Funeral</t>
  </si>
  <si>
    <t>https://www.wsj.com/articles/SB10001424052748703559604576176323629295598</t>
  </si>
  <si>
    <t>The sentiment is 'unrelated' because this headline does not evoke any emotional response related to the oil market, and its content does not have any direct or indirect impact on the oil market, making it unrelated to my area of expertise.</t>
  </si>
  <si>
    <t>The return of the WTI super contango</t>
  </si>
  <si>
    <t>https://www.ft.com/content/fef13b27-d641-3ee8-b5df-969db188b0ce</t>
  </si>
  <si>
    <t>The sentiment is 'bullish' because a contango in the WTI futures curve, where near-month prices are lower than longer-dated prices, often signals a tightening of near-term supply and increased demand, which can lead to higher prices in the short term.</t>
  </si>
  <si>
    <t>BRENT CRUDE PREMIUM TO U.S. CRUDE FUTURES AT $3.33/BBL, BIGGEST</t>
  </si>
  <si>
    <t>https://www.reuters.com/article/markets/stocks/brent-crude-premium-to-us-crude-futures-at-333bbl-biggest-idUSN07213679/</t>
  </si>
  <si>
    <t>The sentiment is 'bullish' because a premium of $3.33/bbl indicates a significant price difference between Brent crude and U.S. crude futures, suggesting stronger demand and tighter supplies in the international market, which is a positive sign for oil prices.</t>
  </si>
  <si>
    <t>Thinking Outside the Stocks</t>
  </si>
  <si>
    <t>https://www.wsj.com/articles/SB10001424052748703882304575465600161453406</t>
  </si>
  <si>
    <t>The sentiment is 'unrelated' because the headline "Thinking Outside the Stocks" appears to be a play on words referencing "thinking outside the box," implying a non-conventional approach, but doesn't convey a clear sentiment or opinion that is directly related to the oil market or any specific issue.</t>
  </si>
  <si>
    <t>U.S. crude oil falls $1 on high stocks, Europe debt fears - Reuters</t>
  </si>
  <si>
    <t>https://news.google.com/rss/articles/CBMisgFBVV95cUxQRW52bVpWa2lrNjFONEN1bDVDYy1DYjdDbHFmaEZicm5KRThSakVGTnVRTGFIT1JtSnY3WnQ5WHQ4cWJ0enN3VGFhRFFONUZyRVdtdUZ3QThQSjAzUElBNnA4U21INjI1VDdKVUJRZDczcnpKUTRGLXlWbU50UTBrbnJPc2NBQjFrUjRyRzFYWFFia2hwSmtLM1hfSHlrQk5SX212cFpzZ0JyanVwdVNhQ2dB?oc=5</t>
  </si>
  <si>
    <t>The sentiment is 'bearish' because the headline highlights the decline in U.S. crude oil prices due to high stock levels and growing concerns over European debt, both of which suggest a weakening demand outlook and downward pressure on prices.</t>
  </si>
  <si>
    <t>Business diary: Brent Hoberman</t>
  </si>
  <si>
    <t>https://www.ft.com/content/197c5c22-e364-11de-8d36-00144feab49a</t>
  </si>
  <si>
    <t>The sentiment is 'unrelated' because the headline appears to be about a person, Brent Hoberman, and does not seem to directly relate to the oil market or business news that would be relevant to an oil market analyst.</t>
  </si>
  <si>
    <t>Making Health Care Better (Published 2009)</t>
  </si>
  <si>
    <t>https://www.nytimes.com/2009/11/08/magazine/08Healthcare-t.html</t>
  </si>
  <si>
    <t>The sentiment is 'unrelated' because the headline "Making Health Care Better" has no apparent connection to the oil market, and therefore, as an oil market analyst, it is not relevant to my area of expertise.</t>
  </si>
  <si>
    <t>Bloomberg - Business News, Stock Markets, Finance, Breaking &amp; World News - Bloomberg.com</t>
  </si>
  <si>
    <t>https://news.google.com/rss/articles/CBMiP0FVX3lxTE9qYU5Fb2FhR3RmNHZUdG1PZFRYOVdvalpTcXd4VjBBME5WRmxTaGphdzFWb2hGTGJVeUU1UVpLOA?oc=5</t>
  </si>
  <si>
    <t>The sentiment is 'unrelated' because this headline appears to be a general news and finance website, with no specific mention or relevance to the oil market, which is the area of expertise of an oil market analyst.</t>
  </si>
  <si>
    <t>Paper Trail (Published 2009)</t>
  </si>
  <si>
    <t>https://www.google.com/url?sa=t&amp;rct=j&amp;q=&amp;esrc=s&amp;source=newssearch&amp;cd=&amp;ved=2ahUKEwi1jv6r2JeMAxVycGwGHbBDK5A4MhDF9AEoAHoECAkQAQ&amp;url=https%3A%2F%2Fwww.nytimes.com%2F2009%2F01%2F25%2Fbooks%2Freview%2FWalker-t.html&amp;usg=AOvVaw0RF3qNkt0I2FW9OvyB1d2C&amp;opi=89978449</t>
  </si>
  <si>
    <t>The sentiment is 'unrelated' because the headline "Paper Trail (Published 2009)" appears to refer to a music album by rapper T.I., which has no obvious connection to the oil market or any relevant energy-related issues.</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</si>
</sst>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d/mm/yyyy"/>
  </numFmts>
  <fonts count="5" x14ac:knownFonts="1">
    <font>
      <sz val="11"/>
      <color theme="1"/>
      <name val="Calibri"/>
      <family val="2"/>
      <scheme val="minor"/>
    </font>
    <font>
      <sz val="11"/>
      <color rgb="FF000000"/>
      <name val="Arial"/>
      <family val="2"/>
    </font>
    <font>
      <b/>
      <sz val="11"/>
      <color rgb="FF000000"/>
      <name val="Arial"/>
      <family val="2"/>
    </font>
    <font>
      <sz val="11"/>
      <color rgb="FF000080"/>
      <name val="Arial"/>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2">
    <xf xfId="0" numFmtId="0" borderId="0" fontId="0" fillId="0"/>
    <xf xfId="0" numFmtId="1" applyNumberFormat="1" borderId="1" applyBorder="1" fontId="1" applyFont="1" fillId="0" applyAlignment="1">
      <alignment horizontal="center"/>
    </xf>
    <xf xfId="0" numFmtId="4" applyNumberFormat="1" borderId="1" applyBorder="1" fontId="2" applyFont="1" fillId="0" applyAlignment="1">
      <alignment horizontal="center" wrapText="1"/>
    </xf>
    <xf xfId="0" numFmtId="1" applyNumberFormat="1" borderId="1" applyBorder="1" fontId="2" applyFont="1" fillId="0" applyAlignment="1">
      <alignment horizontal="left"/>
    </xf>
    <xf xfId="0" numFmtId="4" applyNumberFormat="1" borderId="1" applyBorder="1" fontId="2" applyFont="1" fillId="0" applyAlignment="1">
      <alignment horizontal="left"/>
    </xf>
    <xf xfId="0" numFmtId="164" applyNumberFormat="1" borderId="1" applyBorder="1" fontId="3" applyFont="1" fillId="0" applyAlignment="1">
      <alignment horizontal="left"/>
    </xf>
    <xf xfId="0" numFmtId="4" applyNumberFormat="1" borderId="1" applyBorder="1" fontId="3" applyFont="1" fillId="0" applyAlignment="1">
      <alignment horizontal="right"/>
    </xf>
    <xf xfId="0" numFmtId="1" applyNumberFormat="1" borderId="0" fontId="0" fillId="0" applyAlignment="1">
      <alignment horizontal="general"/>
    </xf>
    <xf xfId="0" numFmtId="4" applyNumberFormat="1" borderId="0" fontId="0" fillId="0" applyAlignment="1">
      <alignment horizontal="right"/>
    </xf>
    <xf xfId="0" numFmtId="14" applyNumberFormat="1" borderId="1" applyBorder="1" fontId="4" applyFont="1" fillId="0" applyAlignment="1">
      <alignment horizontal="left"/>
    </xf>
    <xf xfId="0" numFmtId="1" applyNumberFormat="1" borderId="0" fontId="0" fillId="0" applyAlignment="1">
      <alignment horizontal="right"/>
    </xf>
    <xf xfId="0" numFmtId="3" applyNumberFormat="1" borderId="0" fontId="0" fillId="0" applyAlignment="1">
      <alignment horizontal="right"/>
    </xf>
    <xf xfId="0" numFmtId="0" borderId="0" fontId="0" fillId="0" applyAlignment="1">
      <alignment horizontal="general"/>
    </xf>
    <xf xfId="0" numFmtId="4" applyNumberFormat="1" borderId="0" fontId="0" fillId="0" applyAlignment="1">
      <alignment horizontal="general"/>
    </xf>
    <xf xfId="0" numFmtId="1" applyNumberFormat="1" borderId="1" applyBorder="1" fontId="4" applyFont="1" fillId="0" applyAlignment="1">
      <alignment horizontal="right"/>
    </xf>
    <xf xfId="0" numFmtId="3" applyNumberFormat="1" borderId="1" applyBorder="1" fontId="4" applyFont="1" fillId="0" applyAlignment="1">
      <alignment horizontal="right"/>
    </xf>
    <xf xfId="0" numFmtId="4" applyNumberFormat="1" borderId="1" applyBorder="1" fontId="4" applyFont="1" fillId="0" applyAlignment="1">
      <alignment horizontal="right"/>
    </xf>
    <xf xfId="0" numFmtId="14" applyNumberFormat="1" borderId="0" fontId="0" fillId="0" applyAlignment="1">
      <alignment horizontal="general"/>
    </xf>
    <xf xfId="0" numFmtId="1" applyNumberFormat="1" borderId="0" fontId="0" fillId="0" applyAlignment="1">
      <alignment horizontal="right"/>
    </xf>
    <xf xfId="0" numFmtId="3" applyNumberFormat="1" borderId="0" fontId="0" fillId="0" applyAlignment="1">
      <alignment horizontal="right"/>
    </xf>
    <xf xfId="0" numFmtId="0" borderId="0" fontId="0" fillId="0" applyAlignment="1">
      <alignment horizontal="general"/>
    </xf>
    <xf xfId="0" numFmtId="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ables/table1.xml><?xml version="1.0" encoding="utf-8"?>
<table xmlns="http://schemas.openxmlformats.org/spreadsheetml/2006/main" ref="B1:F2142" displayName="Table1" name="Table1" id="1" totalsRowShown="0">
  <autoFilter ref="B1:F2142"/>
  <tableColumns count="5">
    <tableColumn name="Date" id="1"/>
    <tableColumn name="Sentiment V1" id="2"/>
    <tableColumn name="Link" id="3"/>
    <tableColumn name="Sentiment V2" id="4"/>
    <tableColumn name="Reasoning" id="5"/>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142"/>
  <sheetViews>
    <sheetView workbookViewId="0" tabSelected="1"/>
  </sheetViews>
  <sheetFormatPr defaultRowHeight="15" x14ac:dyDescent="0.25"/>
  <cols>
    <col min="1" max="1" style="20" width="109.005" customWidth="1" bestFit="1"/>
    <col min="2" max="2" style="17" width="9.862142857142858" customWidth="1" bestFit="1"/>
    <col min="3" max="3" style="20" width="13.576428571428572" customWidth="1" bestFit="1" hidden="1"/>
    <col min="4" max="4" style="20" width="13.576428571428572" customWidth="1" bestFit="1" hidden="1"/>
    <col min="5" max="5" style="20" width="13.576428571428572" customWidth="1" bestFit="1"/>
    <col min="6" max="6" style="20" width="255.57642857142858" customWidth="1" bestFit="1"/>
  </cols>
  <sheetData>
    <row x14ac:dyDescent="0.25" r="1" customHeight="1" ht="18.75">
      <c r="A1" s="12" t="s">
        <v>7</v>
      </c>
      <c r="B1" s="9" t="s">
        <v>0</v>
      </c>
      <c r="C1" s="12" t="s">
        <v>8</v>
      </c>
      <c r="D1" s="12" t="s">
        <v>9</v>
      </c>
      <c r="E1" s="12" t="s">
        <v>10</v>
      </c>
      <c r="F1" s="12" t="s">
        <v>11</v>
      </c>
    </row>
    <row x14ac:dyDescent="0.25" r="2" customHeight="1" ht="18.75">
      <c r="A2" s="12" t="s">
        <v>12</v>
      </c>
      <c r="B2" s="9">
        <v>45826</v>
      </c>
      <c r="C2" s="12" t="s">
        <v>13</v>
      </c>
      <c r="D2" s="12" t="s">
        <v>14</v>
      </c>
      <c r="E2" s="12" t="s">
        <v>13</v>
      </c>
      <c r="F2" s="12" t="s">
        <v>15</v>
      </c>
    </row>
    <row x14ac:dyDescent="0.25" r="3" customHeight="1" ht="18.75" hidden="1">
      <c r="A3" s="12" t="s">
        <v>16</v>
      </c>
      <c r="B3" s="9">
        <v>45826</v>
      </c>
      <c r="C3" s="12" t="s">
        <v>3</v>
      </c>
      <c r="D3" s="12" t="s">
        <v>17</v>
      </c>
      <c r="E3" s="12" t="s">
        <v>3</v>
      </c>
      <c r="F3" s="12" t="s">
        <v>18</v>
      </c>
    </row>
    <row x14ac:dyDescent="0.25" r="4" customHeight="1" ht="18.75" hidden="1">
      <c r="A4" s="12" t="s">
        <v>19</v>
      </c>
      <c r="B4" s="9">
        <v>45826</v>
      </c>
      <c r="C4" s="12" t="s">
        <v>2</v>
      </c>
      <c r="D4" s="12" t="s">
        <v>20</v>
      </c>
      <c r="E4" s="12" t="s">
        <v>2</v>
      </c>
      <c r="F4" s="12" t="s">
        <v>21</v>
      </c>
    </row>
    <row x14ac:dyDescent="0.25" r="5" customHeight="1" ht="18.75" hidden="1">
      <c r="A5" s="12" t="s">
        <v>22</v>
      </c>
      <c r="B5" s="9">
        <v>45826</v>
      </c>
      <c r="C5" s="12" t="s">
        <v>2</v>
      </c>
      <c r="D5" s="12" t="s">
        <v>23</v>
      </c>
      <c r="E5" s="12" t="s">
        <v>2</v>
      </c>
      <c r="F5" s="12" t="s">
        <v>24</v>
      </c>
    </row>
    <row x14ac:dyDescent="0.25" r="6" customHeight="1" ht="18.75" hidden="1">
      <c r="A6" s="12" t="s">
        <v>25</v>
      </c>
      <c r="B6" s="9">
        <v>45826</v>
      </c>
      <c r="C6" s="12" t="s">
        <v>2</v>
      </c>
      <c r="D6" s="12" t="s">
        <v>26</v>
      </c>
      <c r="E6" s="12" t="s">
        <v>2</v>
      </c>
      <c r="F6" s="12" t="s">
        <v>27</v>
      </c>
    </row>
    <row x14ac:dyDescent="0.25" r="7" customHeight="1" ht="18.75" hidden="1">
      <c r="A7" s="12" t="s">
        <v>28</v>
      </c>
      <c r="B7" s="9">
        <v>45826</v>
      </c>
      <c r="C7" s="12" t="s">
        <v>2</v>
      </c>
      <c r="D7" s="12" t="s">
        <v>29</v>
      </c>
      <c r="E7" s="12" t="s">
        <v>2</v>
      </c>
      <c r="F7" s="12" t="s">
        <v>30</v>
      </c>
    </row>
    <row x14ac:dyDescent="0.25" r="8" customHeight="1" ht="18.75" hidden="1">
      <c r="A8" s="12" t="s">
        <v>31</v>
      </c>
      <c r="B8" s="9">
        <v>45826</v>
      </c>
      <c r="C8" s="12" t="s">
        <v>2</v>
      </c>
      <c r="D8" s="12" t="s">
        <v>32</v>
      </c>
      <c r="E8" s="12" t="s">
        <v>2</v>
      </c>
      <c r="F8" s="12" t="s">
        <v>33</v>
      </c>
    </row>
    <row x14ac:dyDescent="0.25" r="9" customHeight="1" ht="18.75" hidden="1">
      <c r="A9" s="12" t="s">
        <v>34</v>
      </c>
      <c r="B9" s="9">
        <v>45826</v>
      </c>
      <c r="C9" s="12" t="s">
        <v>2</v>
      </c>
      <c r="D9" s="12" t="s">
        <v>35</v>
      </c>
      <c r="E9" s="12" t="s">
        <v>2</v>
      </c>
      <c r="F9" s="12" t="s">
        <v>36</v>
      </c>
    </row>
    <row x14ac:dyDescent="0.25" r="10" customHeight="1" ht="18.75" hidden="1">
      <c r="A10" s="12" t="s">
        <v>37</v>
      </c>
      <c r="B10" s="9">
        <v>45826</v>
      </c>
      <c r="C10" s="12" t="s">
        <v>3</v>
      </c>
      <c r="D10" s="12" t="s">
        <v>38</v>
      </c>
      <c r="E10" s="12" t="s">
        <v>3</v>
      </c>
      <c r="F10" s="12" t="s">
        <v>39</v>
      </c>
    </row>
    <row x14ac:dyDescent="0.25" r="11" customHeight="1" ht="18.75" hidden="1">
      <c r="A11" s="12" t="s">
        <v>40</v>
      </c>
      <c r="B11" s="9">
        <v>45826</v>
      </c>
      <c r="C11" s="12" t="s">
        <v>2</v>
      </c>
      <c r="D11" s="12" t="s">
        <v>41</v>
      </c>
      <c r="E11" s="12" t="s">
        <v>2</v>
      </c>
      <c r="F11" s="12" t="s">
        <v>42</v>
      </c>
    </row>
    <row x14ac:dyDescent="0.25" r="12" customHeight="1" ht="18.75" hidden="1">
      <c r="A12" s="12" t="s">
        <v>43</v>
      </c>
      <c r="B12" s="9">
        <v>45826</v>
      </c>
      <c r="C12" s="12" t="s">
        <v>2</v>
      </c>
      <c r="D12" s="12" t="s">
        <v>44</v>
      </c>
      <c r="E12" s="12" t="s">
        <v>2</v>
      </c>
      <c r="F12" s="12" t="s">
        <v>45</v>
      </c>
    </row>
    <row x14ac:dyDescent="0.25" r="13" customHeight="1" ht="18.75" hidden="1">
      <c r="A13" s="12" t="s">
        <v>46</v>
      </c>
      <c r="B13" s="9">
        <v>45825</v>
      </c>
      <c r="C13" s="12" t="s">
        <v>2</v>
      </c>
      <c r="D13" s="12" t="s">
        <v>47</v>
      </c>
      <c r="E13" s="12" t="s">
        <v>2</v>
      </c>
      <c r="F13" s="12" t="s">
        <v>48</v>
      </c>
    </row>
    <row x14ac:dyDescent="0.25" r="14" customHeight="1" ht="18.75" hidden="1">
      <c r="A14" s="12" t="s">
        <v>49</v>
      </c>
      <c r="B14" s="9">
        <v>45825</v>
      </c>
      <c r="C14" s="12" t="s">
        <v>2</v>
      </c>
      <c r="D14" s="12" t="s">
        <v>50</v>
      </c>
      <c r="E14" s="12" t="s">
        <v>2</v>
      </c>
      <c r="F14" s="12" t="s">
        <v>51</v>
      </c>
    </row>
    <row x14ac:dyDescent="0.25" r="15" customHeight="1" ht="18.75" hidden="1">
      <c r="A15" s="12" t="s">
        <v>52</v>
      </c>
      <c r="B15" s="9">
        <v>45825</v>
      </c>
      <c r="C15" s="12" t="s">
        <v>3</v>
      </c>
      <c r="D15" s="12" t="s">
        <v>53</v>
      </c>
      <c r="E15" s="12" t="s">
        <v>3</v>
      </c>
      <c r="F15" s="12" t="s">
        <v>54</v>
      </c>
    </row>
    <row x14ac:dyDescent="0.25" r="16" customHeight="1" ht="18.75" hidden="1">
      <c r="A16" s="12" t="s">
        <v>55</v>
      </c>
      <c r="B16" s="9">
        <v>45825</v>
      </c>
      <c r="C16" s="12" t="s">
        <v>2</v>
      </c>
      <c r="D16" s="12" t="s">
        <v>56</v>
      </c>
      <c r="E16" s="12" t="s">
        <v>2</v>
      </c>
      <c r="F16" s="12" t="s">
        <v>57</v>
      </c>
    </row>
    <row x14ac:dyDescent="0.25" r="17" customHeight="1" ht="18.75" hidden="1">
      <c r="A17" s="12" t="s">
        <v>58</v>
      </c>
      <c r="B17" s="9">
        <v>45825</v>
      </c>
      <c r="C17" s="12" t="s">
        <v>2</v>
      </c>
      <c r="D17" s="12" t="s">
        <v>59</v>
      </c>
      <c r="E17" s="12" t="s">
        <v>2</v>
      </c>
      <c r="F17" s="12" t="s">
        <v>60</v>
      </c>
    </row>
    <row x14ac:dyDescent="0.25" r="18" customHeight="1" ht="18.75" hidden="1">
      <c r="A18" s="12" t="s">
        <v>61</v>
      </c>
      <c r="B18" s="9">
        <v>45825</v>
      </c>
      <c r="C18" s="12" t="s">
        <v>2</v>
      </c>
      <c r="D18" s="12" t="s">
        <v>62</v>
      </c>
      <c r="E18" s="12" t="s">
        <v>2</v>
      </c>
      <c r="F18" s="12" t="s">
        <v>63</v>
      </c>
    </row>
    <row x14ac:dyDescent="0.25" r="19" customHeight="1" ht="18.75" hidden="1">
      <c r="A19" s="12" t="s">
        <v>64</v>
      </c>
      <c r="B19" s="9">
        <v>45825</v>
      </c>
      <c r="C19" s="12" t="s">
        <v>2</v>
      </c>
      <c r="D19" s="12" t="s">
        <v>65</v>
      </c>
      <c r="E19" s="12" t="s">
        <v>2</v>
      </c>
      <c r="F19" s="12" t="s">
        <v>66</v>
      </c>
    </row>
    <row x14ac:dyDescent="0.25" r="20" customHeight="1" ht="18.75" hidden="1">
      <c r="A20" s="12" t="s">
        <v>67</v>
      </c>
      <c r="B20" s="9">
        <v>45825</v>
      </c>
      <c r="C20" s="12" t="s">
        <v>2</v>
      </c>
      <c r="D20" s="12" t="s">
        <v>68</v>
      </c>
      <c r="E20" s="12" t="s">
        <v>2</v>
      </c>
      <c r="F20" s="12" t="s">
        <v>69</v>
      </c>
    </row>
    <row x14ac:dyDescent="0.25" r="21" customHeight="1" ht="18.75" hidden="1">
      <c r="A21" s="12" t="s">
        <v>70</v>
      </c>
      <c r="B21" s="9">
        <v>45825</v>
      </c>
      <c r="C21" s="12" t="s">
        <v>2</v>
      </c>
      <c r="D21" s="12" t="s">
        <v>71</v>
      </c>
      <c r="E21" s="12" t="s">
        <v>2</v>
      </c>
      <c r="F21" s="12" t="s">
        <v>72</v>
      </c>
    </row>
    <row x14ac:dyDescent="0.25" r="22" customHeight="1" ht="18.75" hidden="1">
      <c r="A22" s="12" t="s">
        <v>73</v>
      </c>
      <c r="B22" s="9">
        <v>45825</v>
      </c>
      <c r="C22" s="12" t="s">
        <v>3</v>
      </c>
      <c r="D22" s="12" t="s">
        <v>74</v>
      </c>
      <c r="E22" s="12" t="s">
        <v>3</v>
      </c>
      <c r="F22" s="12" t="s">
        <v>75</v>
      </c>
    </row>
    <row x14ac:dyDescent="0.25" r="23" customHeight="1" ht="18.75" hidden="1">
      <c r="A23" s="12" t="s">
        <v>76</v>
      </c>
      <c r="B23" s="9">
        <v>45825</v>
      </c>
      <c r="C23" s="12" t="s">
        <v>2</v>
      </c>
      <c r="D23" s="12" t="s">
        <v>77</v>
      </c>
      <c r="E23" s="12" t="s">
        <v>2</v>
      </c>
      <c r="F23" s="12" t="s">
        <v>78</v>
      </c>
    </row>
    <row x14ac:dyDescent="0.25" r="24" customHeight="1" ht="18.75" hidden="1">
      <c r="A24" s="12" t="s">
        <v>79</v>
      </c>
      <c r="B24" s="9">
        <v>45825</v>
      </c>
      <c r="C24" s="12" t="s">
        <v>2</v>
      </c>
      <c r="D24" s="12" t="s">
        <v>80</v>
      </c>
      <c r="E24" s="12" t="s">
        <v>2</v>
      </c>
      <c r="F24" s="12" t="s">
        <v>81</v>
      </c>
    </row>
    <row x14ac:dyDescent="0.25" r="25" customHeight="1" ht="18.75" hidden="1">
      <c r="A25" s="12" t="s">
        <v>82</v>
      </c>
      <c r="B25" s="9">
        <v>45825</v>
      </c>
      <c r="C25" s="12" t="s">
        <v>2</v>
      </c>
      <c r="D25" s="12" t="s">
        <v>83</v>
      </c>
      <c r="E25" s="12" t="s">
        <v>2</v>
      </c>
      <c r="F25" s="12" t="s">
        <v>84</v>
      </c>
    </row>
    <row x14ac:dyDescent="0.25" r="26" customHeight="1" ht="18.75" hidden="1">
      <c r="A26" s="12" t="s">
        <v>85</v>
      </c>
      <c r="B26" s="9">
        <v>45825</v>
      </c>
      <c r="C26" s="12" t="s">
        <v>2</v>
      </c>
      <c r="D26" s="12" t="s">
        <v>86</v>
      </c>
      <c r="E26" s="12" t="s">
        <v>2</v>
      </c>
      <c r="F26" s="12" t="s">
        <v>87</v>
      </c>
    </row>
    <row x14ac:dyDescent="0.25" r="27" customHeight="1" ht="18.75" hidden="1">
      <c r="A27" s="12" t="s">
        <v>88</v>
      </c>
      <c r="B27" s="9">
        <v>45825</v>
      </c>
      <c r="C27" s="12" t="s">
        <v>2</v>
      </c>
      <c r="D27" s="12" t="s">
        <v>89</v>
      </c>
      <c r="E27" s="12" t="s">
        <v>2</v>
      </c>
      <c r="F27" s="12" t="s">
        <v>90</v>
      </c>
    </row>
    <row x14ac:dyDescent="0.25" r="28" customHeight="1" ht="18.75" hidden="1">
      <c r="A28" s="12" t="s">
        <v>91</v>
      </c>
      <c r="B28" s="9">
        <v>45825</v>
      </c>
      <c r="C28" s="12" t="s">
        <v>3</v>
      </c>
      <c r="D28" s="12" t="s">
        <v>92</v>
      </c>
      <c r="E28" s="12" t="s">
        <v>3</v>
      </c>
      <c r="F28" s="12" t="s">
        <v>93</v>
      </c>
    </row>
    <row x14ac:dyDescent="0.25" r="29" customHeight="1" ht="18.75" hidden="1">
      <c r="A29" s="12" t="s">
        <v>94</v>
      </c>
      <c r="B29" s="9">
        <v>45825</v>
      </c>
      <c r="C29" s="12" t="s">
        <v>2</v>
      </c>
      <c r="D29" s="12" t="s">
        <v>95</v>
      </c>
      <c r="E29" s="12" t="s">
        <v>2</v>
      </c>
      <c r="F29" s="12" t="s">
        <v>96</v>
      </c>
    </row>
    <row x14ac:dyDescent="0.25" r="30" customHeight="1" ht="18.75" hidden="1">
      <c r="A30" s="12" t="s">
        <v>97</v>
      </c>
      <c r="B30" s="9">
        <v>45825</v>
      </c>
      <c r="C30" s="12" t="s">
        <v>3</v>
      </c>
      <c r="D30" s="12" t="s">
        <v>98</v>
      </c>
      <c r="E30" s="12" t="s">
        <v>3</v>
      </c>
      <c r="F30" s="12" t="s">
        <v>99</v>
      </c>
    </row>
    <row x14ac:dyDescent="0.25" r="31" customHeight="1" ht="18.75">
      <c r="A31" s="12" t="s">
        <v>100</v>
      </c>
      <c r="B31" s="9">
        <v>45825</v>
      </c>
      <c r="C31" s="12" t="s">
        <v>101</v>
      </c>
      <c r="D31" s="12" t="s">
        <v>102</v>
      </c>
      <c r="E31" s="12" t="s">
        <v>13</v>
      </c>
      <c r="F31" s="12" t="s">
        <v>103</v>
      </c>
    </row>
    <row x14ac:dyDescent="0.25" r="32" customHeight="1" ht="18.75" hidden="1">
      <c r="A32" s="12" t="s">
        <v>104</v>
      </c>
      <c r="B32" s="9">
        <v>45825</v>
      </c>
      <c r="C32" s="12" t="s">
        <v>3</v>
      </c>
      <c r="D32" s="12" t="s">
        <v>105</v>
      </c>
      <c r="E32" s="12" t="s">
        <v>3</v>
      </c>
      <c r="F32" s="12" t="s">
        <v>106</v>
      </c>
    </row>
    <row x14ac:dyDescent="0.25" r="33" customHeight="1" ht="18.75" hidden="1">
      <c r="A33" s="12" t="s">
        <v>107</v>
      </c>
      <c r="B33" s="9">
        <v>45825</v>
      </c>
      <c r="C33" s="12" t="s">
        <v>3</v>
      </c>
      <c r="D33" s="12" t="s">
        <v>108</v>
      </c>
      <c r="E33" s="12" t="s">
        <v>109</v>
      </c>
      <c r="F33" s="12" t="s">
        <v>110</v>
      </c>
    </row>
    <row x14ac:dyDescent="0.25" r="34" customHeight="1" ht="18.75" hidden="1">
      <c r="A34" s="12" t="s">
        <v>111</v>
      </c>
      <c r="B34" s="9">
        <v>45825</v>
      </c>
      <c r="C34" s="12" t="s">
        <v>2</v>
      </c>
      <c r="D34" s="12" t="s">
        <v>112</v>
      </c>
      <c r="E34" s="12" t="s">
        <v>109</v>
      </c>
      <c r="F34" s="12" t="s">
        <v>110</v>
      </c>
    </row>
    <row x14ac:dyDescent="0.25" r="35" customHeight="1" ht="18.75" hidden="1">
      <c r="A35" s="12" t="s">
        <v>113</v>
      </c>
      <c r="B35" s="9">
        <v>45825</v>
      </c>
      <c r="C35" s="12" t="s">
        <v>3</v>
      </c>
      <c r="D35" s="12" t="s">
        <v>114</v>
      </c>
      <c r="E35" s="12" t="s">
        <v>109</v>
      </c>
      <c r="F35" s="12" t="s">
        <v>110</v>
      </c>
    </row>
    <row x14ac:dyDescent="0.25" r="36" customHeight="1" ht="18.75" hidden="1">
      <c r="A36" s="12" t="s">
        <v>115</v>
      </c>
      <c r="B36" s="9">
        <v>45825</v>
      </c>
      <c r="C36" s="12" t="s">
        <v>3</v>
      </c>
      <c r="D36" s="12" t="s">
        <v>116</v>
      </c>
      <c r="E36" s="12" t="s">
        <v>3</v>
      </c>
      <c r="F36" s="12" t="s">
        <v>117</v>
      </c>
    </row>
    <row x14ac:dyDescent="0.25" r="37" customHeight="1" ht="18.75" hidden="1">
      <c r="A37" s="12" t="s">
        <v>118</v>
      </c>
      <c r="B37" s="9">
        <v>45825</v>
      </c>
      <c r="C37" s="12" t="s">
        <v>2</v>
      </c>
      <c r="D37" s="12" t="s">
        <v>119</v>
      </c>
      <c r="E37" s="12" t="s">
        <v>2</v>
      </c>
      <c r="F37" s="12" t="s">
        <v>120</v>
      </c>
    </row>
    <row x14ac:dyDescent="0.25" r="38" customHeight="1" ht="18.75">
      <c r="A38" s="12" t="s">
        <v>121</v>
      </c>
      <c r="B38" s="9">
        <v>45825</v>
      </c>
      <c r="C38" s="12" t="s">
        <v>13</v>
      </c>
      <c r="D38" s="12" t="s">
        <v>122</v>
      </c>
      <c r="E38" s="12" t="s">
        <v>13</v>
      </c>
      <c r="F38" s="12" t="s">
        <v>123</v>
      </c>
    </row>
    <row x14ac:dyDescent="0.25" r="39" customHeight="1" ht="18.75" hidden="1">
      <c r="A39" s="12" t="s">
        <v>124</v>
      </c>
      <c r="B39" s="9">
        <v>45825</v>
      </c>
      <c r="C39" s="12" t="s">
        <v>2</v>
      </c>
      <c r="D39" s="12" t="s">
        <v>125</v>
      </c>
      <c r="E39" s="12" t="s">
        <v>2</v>
      </c>
      <c r="F39" s="12" t="s">
        <v>126</v>
      </c>
    </row>
    <row x14ac:dyDescent="0.25" r="40" customHeight="1" ht="18.75" hidden="1">
      <c r="A40" s="12" t="s">
        <v>127</v>
      </c>
      <c r="B40" s="9">
        <v>45825</v>
      </c>
      <c r="C40" s="12" t="s">
        <v>2</v>
      </c>
      <c r="D40" s="12" t="s">
        <v>128</v>
      </c>
      <c r="E40" s="12" t="s">
        <v>2</v>
      </c>
      <c r="F40" s="12" t="s">
        <v>129</v>
      </c>
    </row>
    <row x14ac:dyDescent="0.25" r="41" customHeight="1" ht="18.75" hidden="1">
      <c r="A41" s="12" t="s">
        <v>130</v>
      </c>
      <c r="B41" s="9">
        <v>45825</v>
      </c>
      <c r="C41" s="12" t="s">
        <v>3</v>
      </c>
      <c r="D41" s="12" t="s">
        <v>131</v>
      </c>
      <c r="E41" s="12" t="s">
        <v>3</v>
      </c>
      <c r="F41" s="12" t="s">
        <v>132</v>
      </c>
    </row>
    <row x14ac:dyDescent="0.25" r="42" customHeight="1" ht="18.75" hidden="1">
      <c r="A42" s="12" t="s">
        <v>133</v>
      </c>
      <c r="B42" s="9">
        <v>45825</v>
      </c>
      <c r="C42" s="12" t="s">
        <v>2</v>
      </c>
      <c r="D42" s="12" t="s">
        <v>134</v>
      </c>
      <c r="E42" s="12" t="s">
        <v>2</v>
      </c>
      <c r="F42" s="12" t="s">
        <v>135</v>
      </c>
    </row>
    <row x14ac:dyDescent="0.25" r="43" customHeight="1" ht="18.75" hidden="1">
      <c r="A43" s="12" t="s">
        <v>136</v>
      </c>
      <c r="B43" s="9">
        <v>45825</v>
      </c>
      <c r="C43" s="12" t="s">
        <v>2</v>
      </c>
      <c r="D43" s="12" t="s">
        <v>137</v>
      </c>
      <c r="E43" s="12" t="s">
        <v>2</v>
      </c>
      <c r="F43" s="12" t="s">
        <v>138</v>
      </c>
    </row>
    <row x14ac:dyDescent="0.25" r="44" customHeight="1" ht="18.75">
      <c r="A44" s="12" t="s">
        <v>139</v>
      </c>
      <c r="B44" s="9">
        <v>45825</v>
      </c>
      <c r="C44" s="12" t="s">
        <v>2</v>
      </c>
      <c r="D44" s="12" t="s">
        <v>140</v>
      </c>
      <c r="E44" s="12" t="s">
        <v>13</v>
      </c>
      <c r="F44" s="12" t="s">
        <v>141</v>
      </c>
    </row>
    <row x14ac:dyDescent="0.25" r="45" customHeight="1" ht="18.75" hidden="1">
      <c r="A45" s="12" t="s">
        <v>142</v>
      </c>
      <c r="B45" s="9">
        <v>45825</v>
      </c>
      <c r="C45" s="12" t="s">
        <v>3</v>
      </c>
      <c r="D45" s="12" t="s">
        <v>143</v>
      </c>
      <c r="E45" s="12" t="s">
        <v>3</v>
      </c>
      <c r="F45" s="12" t="s">
        <v>144</v>
      </c>
    </row>
    <row x14ac:dyDescent="0.25" r="46" customHeight="1" ht="18.75" hidden="1">
      <c r="A46" s="12" t="s">
        <v>145</v>
      </c>
      <c r="B46" s="9">
        <v>45825</v>
      </c>
      <c r="C46" s="12" t="s">
        <v>2</v>
      </c>
      <c r="D46" s="12" t="s">
        <v>146</v>
      </c>
      <c r="E46" s="12" t="s">
        <v>2</v>
      </c>
      <c r="F46" s="12" t="s">
        <v>147</v>
      </c>
    </row>
    <row x14ac:dyDescent="0.25" r="47" customHeight="1" ht="18.75">
      <c r="A47" s="12" t="s">
        <v>148</v>
      </c>
      <c r="B47" s="9">
        <v>45825</v>
      </c>
      <c r="C47" s="12" t="s">
        <v>2</v>
      </c>
      <c r="D47" s="12" t="s">
        <v>149</v>
      </c>
      <c r="E47" s="12" t="s">
        <v>4</v>
      </c>
      <c r="F47" s="12" t="s">
        <v>150</v>
      </c>
    </row>
    <row x14ac:dyDescent="0.25" r="48" customHeight="1" ht="18.75" hidden="1">
      <c r="A48" s="12" t="s">
        <v>151</v>
      </c>
      <c r="B48" s="9">
        <v>45825</v>
      </c>
      <c r="C48" s="12" t="s">
        <v>2</v>
      </c>
      <c r="D48" s="12" t="s">
        <v>152</v>
      </c>
      <c r="E48" s="12" t="s">
        <v>2</v>
      </c>
      <c r="F48" s="12" t="s">
        <v>153</v>
      </c>
    </row>
    <row x14ac:dyDescent="0.25" r="49" customHeight="1" ht="18.75" hidden="1">
      <c r="A49" s="12" t="s">
        <v>154</v>
      </c>
      <c r="B49" s="9">
        <v>45825</v>
      </c>
      <c r="C49" s="12" t="s">
        <v>3</v>
      </c>
      <c r="D49" s="12" t="s">
        <v>155</v>
      </c>
      <c r="E49" s="12" t="s">
        <v>3</v>
      </c>
      <c r="F49" s="12" t="s">
        <v>156</v>
      </c>
    </row>
    <row x14ac:dyDescent="0.25" r="50" customHeight="1" ht="18.75">
      <c r="A50" s="12" t="s">
        <v>157</v>
      </c>
      <c r="B50" s="9">
        <v>45825</v>
      </c>
      <c r="C50" s="12" t="s">
        <v>13</v>
      </c>
      <c r="D50" s="12" t="s">
        <v>158</v>
      </c>
      <c r="E50" s="12" t="s">
        <v>13</v>
      </c>
      <c r="F50" s="12" t="s">
        <v>159</v>
      </c>
    </row>
    <row x14ac:dyDescent="0.25" r="51" customHeight="1" ht="18.75" hidden="1">
      <c r="A51" s="12" t="s">
        <v>160</v>
      </c>
      <c r="B51" s="9">
        <v>45825</v>
      </c>
      <c r="C51" s="12" t="s">
        <v>3</v>
      </c>
      <c r="D51" s="12" t="s">
        <v>161</v>
      </c>
      <c r="E51" s="12" t="s">
        <v>3</v>
      </c>
      <c r="F51" s="12" t="s">
        <v>162</v>
      </c>
    </row>
    <row x14ac:dyDescent="0.25" r="52" customHeight="1" ht="18.75" hidden="1">
      <c r="A52" s="12" t="s">
        <v>163</v>
      </c>
      <c r="B52" s="9">
        <v>45825</v>
      </c>
      <c r="C52" s="12" t="s">
        <v>2</v>
      </c>
      <c r="D52" s="12" t="s">
        <v>164</v>
      </c>
      <c r="E52" s="12" t="s">
        <v>2</v>
      </c>
      <c r="F52" s="12" t="s">
        <v>165</v>
      </c>
    </row>
    <row x14ac:dyDescent="0.25" r="53" customHeight="1" ht="18.75" hidden="1">
      <c r="A53" s="12" t="s">
        <v>166</v>
      </c>
      <c r="B53" s="9">
        <v>45825</v>
      </c>
      <c r="C53" s="12" t="s">
        <v>2</v>
      </c>
      <c r="D53" s="12" t="s">
        <v>167</v>
      </c>
      <c r="E53" s="12" t="s">
        <v>2</v>
      </c>
      <c r="F53" s="12" t="s">
        <v>168</v>
      </c>
    </row>
    <row x14ac:dyDescent="0.25" r="54" customHeight="1" ht="18.75" hidden="1">
      <c r="A54" s="12" t="s">
        <v>169</v>
      </c>
      <c r="B54" s="9">
        <v>45825</v>
      </c>
      <c r="C54" s="12" t="s">
        <v>3</v>
      </c>
      <c r="D54" s="12" t="s">
        <v>170</v>
      </c>
      <c r="E54" s="12" t="s">
        <v>2</v>
      </c>
      <c r="F54" s="12" t="s">
        <v>171</v>
      </c>
    </row>
    <row x14ac:dyDescent="0.25" r="55" customHeight="1" ht="18.75" hidden="1">
      <c r="A55" s="12" t="s">
        <v>172</v>
      </c>
      <c r="B55" s="9">
        <v>45825</v>
      </c>
      <c r="C55" s="12" t="s">
        <v>2</v>
      </c>
      <c r="D55" s="12" t="s">
        <v>173</v>
      </c>
      <c r="E55" s="12" t="s">
        <v>2</v>
      </c>
      <c r="F55" s="12" t="s">
        <v>174</v>
      </c>
    </row>
    <row x14ac:dyDescent="0.25" r="56" customHeight="1" ht="18.75" hidden="1">
      <c r="A56" s="12" t="s">
        <v>175</v>
      </c>
      <c r="B56" s="9">
        <v>45825</v>
      </c>
      <c r="C56" s="12" t="s">
        <v>3</v>
      </c>
      <c r="D56" s="12" t="s">
        <v>176</v>
      </c>
      <c r="E56" s="12" t="s">
        <v>3</v>
      </c>
      <c r="F56" s="12" t="s">
        <v>177</v>
      </c>
    </row>
    <row x14ac:dyDescent="0.25" r="57" customHeight="1" ht="18.75" hidden="1">
      <c r="A57" s="12" t="s">
        <v>178</v>
      </c>
      <c r="B57" s="9">
        <v>45825</v>
      </c>
      <c r="C57" s="12" t="s">
        <v>3</v>
      </c>
      <c r="D57" s="12" t="s">
        <v>179</v>
      </c>
      <c r="E57" s="12" t="s">
        <v>3</v>
      </c>
      <c r="F57" s="12" t="s">
        <v>180</v>
      </c>
    </row>
    <row x14ac:dyDescent="0.25" r="58" customHeight="1" ht="18.75" hidden="1">
      <c r="A58" s="12" t="s">
        <v>181</v>
      </c>
      <c r="B58" s="9">
        <v>45824</v>
      </c>
      <c r="C58" s="12" t="s">
        <v>3</v>
      </c>
      <c r="D58" s="12" t="s">
        <v>182</v>
      </c>
      <c r="E58" s="12" t="s">
        <v>3</v>
      </c>
      <c r="F58" s="12" t="s">
        <v>183</v>
      </c>
    </row>
    <row x14ac:dyDescent="0.25" r="59" customHeight="1" ht="18.75" hidden="1">
      <c r="A59" s="12" t="s">
        <v>184</v>
      </c>
      <c r="B59" s="9">
        <v>45824</v>
      </c>
      <c r="C59" s="12" t="s">
        <v>2</v>
      </c>
      <c r="D59" s="12" t="s">
        <v>185</v>
      </c>
      <c r="E59" s="12" t="s">
        <v>2</v>
      </c>
      <c r="F59" s="12" t="s">
        <v>186</v>
      </c>
    </row>
    <row x14ac:dyDescent="0.25" r="60" customHeight="1" ht="18.75" hidden="1">
      <c r="A60" s="12" t="s">
        <v>187</v>
      </c>
      <c r="B60" s="9">
        <v>45824</v>
      </c>
      <c r="C60" s="12" t="s">
        <v>2</v>
      </c>
      <c r="D60" s="12" t="s">
        <v>188</v>
      </c>
      <c r="E60" s="12" t="s">
        <v>2</v>
      </c>
      <c r="F60" s="12" t="s">
        <v>189</v>
      </c>
    </row>
    <row x14ac:dyDescent="0.25" r="61" customHeight="1" ht="18.75" hidden="1">
      <c r="A61" s="12" t="s">
        <v>190</v>
      </c>
      <c r="B61" s="9">
        <v>45824</v>
      </c>
      <c r="C61" s="12" t="s">
        <v>3</v>
      </c>
      <c r="D61" s="12" t="s">
        <v>191</v>
      </c>
      <c r="E61" s="12" t="s">
        <v>3</v>
      </c>
      <c r="F61" s="12" t="s">
        <v>192</v>
      </c>
    </row>
    <row x14ac:dyDescent="0.25" r="62" customHeight="1" ht="18.75" hidden="1">
      <c r="A62" s="12" t="s">
        <v>193</v>
      </c>
      <c r="B62" s="9">
        <v>45824</v>
      </c>
      <c r="C62" s="12" t="s">
        <v>2</v>
      </c>
      <c r="D62" s="12" t="s">
        <v>194</v>
      </c>
      <c r="E62" s="12" t="s">
        <v>2</v>
      </c>
      <c r="F62" s="12" t="s">
        <v>195</v>
      </c>
    </row>
    <row x14ac:dyDescent="0.25" r="63" customHeight="1" ht="18.75" hidden="1">
      <c r="A63" s="12" t="s">
        <v>196</v>
      </c>
      <c r="B63" s="9">
        <v>45824</v>
      </c>
      <c r="C63" s="12" t="s">
        <v>2</v>
      </c>
      <c r="D63" s="12" t="s">
        <v>197</v>
      </c>
      <c r="E63" s="12" t="s">
        <v>2</v>
      </c>
      <c r="F63" s="12" t="s">
        <v>198</v>
      </c>
    </row>
    <row x14ac:dyDescent="0.25" r="64" customHeight="1" ht="18.75" hidden="1">
      <c r="A64" s="12" t="s">
        <v>199</v>
      </c>
      <c r="B64" s="9">
        <v>45824</v>
      </c>
      <c r="C64" s="12" t="s">
        <v>2</v>
      </c>
      <c r="D64" s="12" t="s">
        <v>200</v>
      </c>
      <c r="E64" s="12" t="s">
        <v>2</v>
      </c>
      <c r="F64" s="12" t="s">
        <v>201</v>
      </c>
    </row>
    <row x14ac:dyDescent="0.25" r="65" customHeight="1" ht="18.75" hidden="1">
      <c r="A65" s="12" t="s">
        <v>202</v>
      </c>
      <c r="B65" s="9">
        <v>45824</v>
      </c>
      <c r="C65" s="12" t="s">
        <v>2</v>
      </c>
      <c r="D65" s="12" t="s">
        <v>203</v>
      </c>
      <c r="E65" s="12" t="s">
        <v>2</v>
      </c>
      <c r="F65" s="12" t="s">
        <v>204</v>
      </c>
    </row>
    <row x14ac:dyDescent="0.25" r="66" customHeight="1" ht="18.75" hidden="1">
      <c r="A66" s="12" t="s">
        <v>205</v>
      </c>
      <c r="B66" s="9">
        <v>45824</v>
      </c>
      <c r="C66" s="12" t="s">
        <v>2</v>
      </c>
      <c r="D66" s="12" t="s">
        <v>206</v>
      </c>
      <c r="E66" s="12" t="s">
        <v>2</v>
      </c>
      <c r="F66" s="12" t="s">
        <v>207</v>
      </c>
    </row>
    <row x14ac:dyDescent="0.25" r="67" customHeight="1" ht="18.75" hidden="1">
      <c r="A67" s="12" t="s">
        <v>208</v>
      </c>
      <c r="B67" s="9">
        <v>45824</v>
      </c>
      <c r="C67" s="12" t="s">
        <v>2</v>
      </c>
      <c r="D67" s="12" t="s">
        <v>209</v>
      </c>
      <c r="E67" s="12" t="s">
        <v>3</v>
      </c>
      <c r="F67" s="12" t="s">
        <v>210</v>
      </c>
    </row>
    <row x14ac:dyDescent="0.25" r="68" customHeight="1" ht="18.75" hidden="1">
      <c r="A68" s="12" t="s">
        <v>211</v>
      </c>
      <c r="B68" s="9">
        <v>45824</v>
      </c>
      <c r="C68" s="12" t="s">
        <v>2</v>
      </c>
      <c r="D68" s="12" t="s">
        <v>212</v>
      </c>
      <c r="E68" s="12" t="s">
        <v>2</v>
      </c>
      <c r="F68" s="12" t="s">
        <v>213</v>
      </c>
    </row>
    <row x14ac:dyDescent="0.25" r="69" customHeight="1" ht="18.75" hidden="1">
      <c r="A69" s="12" t="s">
        <v>214</v>
      </c>
      <c r="B69" s="9">
        <v>45824</v>
      </c>
      <c r="C69" s="12" t="s">
        <v>3</v>
      </c>
      <c r="D69" s="12" t="s">
        <v>215</v>
      </c>
      <c r="E69" s="12" t="s">
        <v>3</v>
      </c>
      <c r="F69" s="12" t="s">
        <v>216</v>
      </c>
    </row>
    <row x14ac:dyDescent="0.25" r="70" customHeight="1" ht="18.75">
      <c r="A70" s="12" t="s">
        <v>217</v>
      </c>
      <c r="B70" s="9">
        <v>45824</v>
      </c>
      <c r="C70" s="12" t="s">
        <v>101</v>
      </c>
      <c r="D70" s="12" t="s">
        <v>218</v>
      </c>
      <c r="E70" s="12" t="s">
        <v>13</v>
      </c>
      <c r="F70" s="12" t="s">
        <v>219</v>
      </c>
    </row>
    <row x14ac:dyDescent="0.25" r="71" customHeight="1" ht="18.75">
      <c r="A71" s="12" t="s">
        <v>220</v>
      </c>
      <c r="B71" s="9">
        <v>45824</v>
      </c>
      <c r="C71" s="12" t="s">
        <v>101</v>
      </c>
      <c r="D71" s="12" t="s">
        <v>221</v>
      </c>
      <c r="E71" s="12" t="s">
        <v>13</v>
      </c>
      <c r="F71" s="12" t="s">
        <v>222</v>
      </c>
    </row>
    <row x14ac:dyDescent="0.25" r="72" customHeight="1" ht="18.75" hidden="1">
      <c r="A72" s="12" t="s">
        <v>223</v>
      </c>
      <c r="B72" s="9">
        <v>45824</v>
      </c>
      <c r="C72" s="12" t="s">
        <v>2</v>
      </c>
      <c r="D72" s="12" t="s">
        <v>224</v>
      </c>
      <c r="E72" s="12" t="s">
        <v>2</v>
      </c>
      <c r="F72" s="12" t="s">
        <v>225</v>
      </c>
    </row>
    <row x14ac:dyDescent="0.25" r="73" customHeight="1" ht="18.75" hidden="1">
      <c r="A73" s="12" t="s">
        <v>226</v>
      </c>
      <c r="B73" s="9">
        <v>45824</v>
      </c>
      <c r="C73" s="12" t="s">
        <v>3</v>
      </c>
      <c r="D73" s="12" t="s">
        <v>227</v>
      </c>
      <c r="E73" s="12" t="s">
        <v>3</v>
      </c>
      <c r="F73" s="12" t="s">
        <v>228</v>
      </c>
    </row>
    <row x14ac:dyDescent="0.25" r="74" customHeight="1" ht="18.75">
      <c r="A74" s="12" t="s">
        <v>229</v>
      </c>
      <c r="B74" s="9">
        <v>45824</v>
      </c>
      <c r="C74" s="12" t="s">
        <v>13</v>
      </c>
      <c r="D74" s="12" t="s">
        <v>230</v>
      </c>
      <c r="E74" s="12" t="s">
        <v>13</v>
      </c>
      <c r="F74" s="12" t="s">
        <v>231</v>
      </c>
    </row>
    <row x14ac:dyDescent="0.25" r="75" customHeight="1" ht="18.75" hidden="1">
      <c r="A75" s="12" t="s">
        <v>232</v>
      </c>
      <c r="B75" s="9">
        <v>45824</v>
      </c>
      <c r="C75" s="12" t="s">
        <v>2</v>
      </c>
      <c r="D75" s="12" t="s">
        <v>233</v>
      </c>
      <c r="E75" s="12" t="s">
        <v>2</v>
      </c>
      <c r="F75" s="12" t="s">
        <v>234</v>
      </c>
    </row>
    <row x14ac:dyDescent="0.25" r="76" customHeight="1" ht="18.75" hidden="1">
      <c r="A76" s="12" t="s">
        <v>235</v>
      </c>
      <c r="B76" s="9">
        <v>45824</v>
      </c>
      <c r="C76" s="12" t="s">
        <v>2</v>
      </c>
      <c r="D76" s="12" t="s">
        <v>236</v>
      </c>
      <c r="E76" s="12" t="s">
        <v>2</v>
      </c>
      <c r="F76" s="12" t="s">
        <v>237</v>
      </c>
    </row>
    <row x14ac:dyDescent="0.25" r="77" customHeight="1" ht="18.75" hidden="1">
      <c r="A77" s="12" t="s">
        <v>238</v>
      </c>
      <c r="B77" s="9">
        <v>45824</v>
      </c>
      <c r="C77" s="12" t="s">
        <v>2</v>
      </c>
      <c r="D77" s="12" t="s">
        <v>239</v>
      </c>
      <c r="E77" s="12" t="s">
        <v>2</v>
      </c>
      <c r="F77" s="12" t="s">
        <v>240</v>
      </c>
    </row>
    <row x14ac:dyDescent="0.25" r="78" customHeight="1" ht="18.75" hidden="1">
      <c r="A78" s="12" t="s">
        <v>241</v>
      </c>
      <c r="B78" s="9">
        <v>45824</v>
      </c>
      <c r="C78" s="12" t="s">
        <v>2</v>
      </c>
      <c r="D78" s="12" t="s">
        <v>242</v>
      </c>
      <c r="E78" s="12" t="s">
        <v>2</v>
      </c>
      <c r="F78" s="12" t="s">
        <v>243</v>
      </c>
    </row>
    <row x14ac:dyDescent="0.25" r="79" customHeight="1" ht="18.75" hidden="1">
      <c r="A79" s="12" t="s">
        <v>244</v>
      </c>
      <c r="B79" s="9">
        <v>45824</v>
      </c>
      <c r="C79" s="12" t="s">
        <v>3</v>
      </c>
      <c r="D79" s="12" t="s">
        <v>245</v>
      </c>
      <c r="E79" s="12" t="s">
        <v>3</v>
      </c>
      <c r="F79" s="12" t="s">
        <v>246</v>
      </c>
    </row>
    <row x14ac:dyDescent="0.25" r="80" customHeight="1" ht="18.75" hidden="1">
      <c r="A80" s="12" t="s">
        <v>247</v>
      </c>
      <c r="B80" s="9">
        <v>45824</v>
      </c>
      <c r="C80" s="12" t="s">
        <v>2</v>
      </c>
      <c r="D80" s="12" t="s">
        <v>248</v>
      </c>
      <c r="E80" s="12" t="s">
        <v>2</v>
      </c>
      <c r="F80" s="12" t="s">
        <v>249</v>
      </c>
    </row>
    <row x14ac:dyDescent="0.25" r="81" customHeight="1" ht="18.75" hidden="1">
      <c r="A81" s="12" t="s">
        <v>250</v>
      </c>
      <c r="B81" s="9">
        <v>45824</v>
      </c>
      <c r="C81" s="12" t="s">
        <v>3</v>
      </c>
      <c r="D81" s="12" t="s">
        <v>251</v>
      </c>
      <c r="E81" s="12" t="s">
        <v>3</v>
      </c>
      <c r="F81" s="12" t="s">
        <v>252</v>
      </c>
    </row>
    <row x14ac:dyDescent="0.25" r="82" customHeight="1" ht="18.75" hidden="1">
      <c r="A82" s="12" t="s">
        <v>253</v>
      </c>
      <c r="B82" s="9">
        <v>45824</v>
      </c>
      <c r="C82" s="12" t="s">
        <v>3</v>
      </c>
      <c r="D82" s="12" t="s">
        <v>254</v>
      </c>
      <c r="E82" s="12" t="s">
        <v>3</v>
      </c>
      <c r="F82" s="12" t="s">
        <v>255</v>
      </c>
    </row>
    <row x14ac:dyDescent="0.25" r="83" customHeight="1" ht="18.75" hidden="1">
      <c r="A83" s="12" t="s">
        <v>256</v>
      </c>
      <c r="B83" s="9">
        <v>45824</v>
      </c>
      <c r="C83" s="12" t="s">
        <v>2</v>
      </c>
      <c r="D83" s="12" t="s">
        <v>257</v>
      </c>
      <c r="E83" s="12" t="s">
        <v>2</v>
      </c>
      <c r="F83" s="12" t="s">
        <v>258</v>
      </c>
    </row>
    <row x14ac:dyDescent="0.25" r="84" customHeight="1" ht="18.75">
      <c r="A84" s="12" t="s">
        <v>259</v>
      </c>
      <c r="B84" s="9">
        <v>45824</v>
      </c>
      <c r="C84" s="12" t="s">
        <v>101</v>
      </c>
      <c r="D84" s="12" t="s">
        <v>260</v>
      </c>
      <c r="E84" s="12" t="s">
        <v>13</v>
      </c>
      <c r="F84" s="12" t="s">
        <v>261</v>
      </c>
    </row>
    <row x14ac:dyDescent="0.25" r="85" customHeight="1" ht="18.75" hidden="1">
      <c r="A85" s="12" t="s">
        <v>262</v>
      </c>
      <c r="B85" s="9">
        <v>45824</v>
      </c>
      <c r="C85" s="12" t="s">
        <v>2</v>
      </c>
      <c r="D85" s="12" t="s">
        <v>263</v>
      </c>
      <c r="E85" s="12" t="s">
        <v>2</v>
      </c>
      <c r="F85" s="12" t="s">
        <v>264</v>
      </c>
    </row>
    <row x14ac:dyDescent="0.25" r="86" customHeight="1" ht="18.75" hidden="1">
      <c r="A86" s="12" t="s">
        <v>265</v>
      </c>
      <c r="B86" s="9">
        <v>45824</v>
      </c>
      <c r="C86" s="12" t="s">
        <v>2</v>
      </c>
      <c r="D86" s="12" t="s">
        <v>266</v>
      </c>
      <c r="E86" s="12" t="s">
        <v>2</v>
      </c>
      <c r="F86" s="12" t="s">
        <v>267</v>
      </c>
    </row>
    <row x14ac:dyDescent="0.25" r="87" customHeight="1" ht="18.75" hidden="1">
      <c r="A87" s="12" t="s">
        <v>268</v>
      </c>
      <c r="B87" s="9">
        <v>45824</v>
      </c>
      <c r="C87" s="12" t="s">
        <v>3</v>
      </c>
      <c r="D87" s="12" t="s">
        <v>269</v>
      </c>
      <c r="E87" s="12" t="s">
        <v>3</v>
      </c>
      <c r="F87" s="12" t="s">
        <v>270</v>
      </c>
    </row>
    <row x14ac:dyDescent="0.25" r="88" customHeight="1" ht="18.75" hidden="1">
      <c r="A88" s="12" t="s">
        <v>271</v>
      </c>
      <c r="B88" s="9">
        <v>45824</v>
      </c>
      <c r="C88" s="12" t="s">
        <v>2</v>
      </c>
      <c r="D88" s="12" t="s">
        <v>272</v>
      </c>
      <c r="E88" s="12" t="s">
        <v>2</v>
      </c>
      <c r="F88" s="12" t="s">
        <v>273</v>
      </c>
    </row>
    <row x14ac:dyDescent="0.25" r="89" customHeight="1" ht="18.75" hidden="1">
      <c r="A89" s="12" t="s">
        <v>274</v>
      </c>
      <c r="B89" s="9">
        <v>45824</v>
      </c>
      <c r="C89" s="12" t="s">
        <v>2</v>
      </c>
      <c r="D89" s="12" t="s">
        <v>275</v>
      </c>
      <c r="E89" s="12" t="s">
        <v>2</v>
      </c>
      <c r="F89" s="12" t="s">
        <v>276</v>
      </c>
    </row>
    <row x14ac:dyDescent="0.25" r="90" customHeight="1" ht="18.75" hidden="1">
      <c r="A90" s="12" t="s">
        <v>277</v>
      </c>
      <c r="B90" s="9">
        <v>45824</v>
      </c>
      <c r="C90" s="12" t="s">
        <v>3</v>
      </c>
      <c r="D90" s="12" t="s">
        <v>278</v>
      </c>
      <c r="E90" s="12" t="s">
        <v>3</v>
      </c>
      <c r="F90" s="12" t="s">
        <v>279</v>
      </c>
    </row>
    <row x14ac:dyDescent="0.25" r="91" customHeight="1" ht="18.75" hidden="1">
      <c r="A91" s="12" t="s">
        <v>280</v>
      </c>
      <c r="B91" s="9">
        <v>45824</v>
      </c>
      <c r="C91" s="12" t="s">
        <v>2</v>
      </c>
      <c r="D91" s="12" t="s">
        <v>281</v>
      </c>
      <c r="E91" s="12" t="s">
        <v>2</v>
      </c>
      <c r="F91" s="12" t="s">
        <v>282</v>
      </c>
    </row>
    <row x14ac:dyDescent="0.25" r="92" customHeight="1" ht="18.75" hidden="1">
      <c r="A92" s="12" t="s">
        <v>283</v>
      </c>
      <c r="B92" s="9">
        <v>45824</v>
      </c>
      <c r="C92" s="12" t="s">
        <v>2</v>
      </c>
      <c r="D92" s="12" t="s">
        <v>284</v>
      </c>
      <c r="E92" s="12" t="s">
        <v>2</v>
      </c>
      <c r="F92" s="12" t="s">
        <v>285</v>
      </c>
    </row>
    <row x14ac:dyDescent="0.25" r="93" customHeight="1" ht="18.75" hidden="1">
      <c r="A93" s="12" t="s">
        <v>286</v>
      </c>
      <c r="B93" s="9">
        <v>45824</v>
      </c>
      <c r="C93" s="12" t="s">
        <v>2</v>
      </c>
      <c r="D93" s="12" t="s">
        <v>287</v>
      </c>
      <c r="E93" s="12" t="s">
        <v>2</v>
      </c>
      <c r="F93" s="12" t="s">
        <v>288</v>
      </c>
    </row>
    <row x14ac:dyDescent="0.25" r="94" customHeight="1" ht="18.75" hidden="1">
      <c r="A94" s="12" t="s">
        <v>289</v>
      </c>
      <c r="B94" s="9">
        <v>45824</v>
      </c>
      <c r="C94" s="12" t="s">
        <v>3</v>
      </c>
      <c r="D94" s="12" t="s">
        <v>290</v>
      </c>
      <c r="E94" s="12" t="s">
        <v>3</v>
      </c>
      <c r="F94" s="12" t="s">
        <v>291</v>
      </c>
    </row>
    <row x14ac:dyDescent="0.25" r="95" customHeight="1" ht="18.75" hidden="1">
      <c r="A95" s="12" t="s">
        <v>292</v>
      </c>
      <c r="B95" s="9">
        <v>45824</v>
      </c>
      <c r="C95" s="12" t="s">
        <v>3</v>
      </c>
      <c r="D95" s="12" t="s">
        <v>293</v>
      </c>
      <c r="E95" s="12" t="s">
        <v>3</v>
      </c>
      <c r="F95" s="12" t="s">
        <v>294</v>
      </c>
    </row>
    <row x14ac:dyDescent="0.25" r="96" customHeight="1" ht="18.75" hidden="1">
      <c r="A96" s="12" t="s">
        <v>295</v>
      </c>
      <c r="B96" s="9">
        <v>45824</v>
      </c>
      <c r="C96" s="12" t="s">
        <v>2</v>
      </c>
      <c r="D96" s="12" t="s">
        <v>296</v>
      </c>
      <c r="E96" s="12" t="s">
        <v>2</v>
      </c>
      <c r="F96" s="12" t="s">
        <v>297</v>
      </c>
    </row>
    <row x14ac:dyDescent="0.25" r="97" customHeight="1" ht="18.75" hidden="1">
      <c r="A97" s="12" t="s">
        <v>298</v>
      </c>
      <c r="B97" s="9">
        <v>45824</v>
      </c>
      <c r="C97" s="12" t="s">
        <v>101</v>
      </c>
      <c r="D97" s="12" t="s">
        <v>299</v>
      </c>
      <c r="E97" s="12" t="s">
        <v>2</v>
      </c>
      <c r="F97" s="12" t="s">
        <v>300</v>
      </c>
    </row>
    <row x14ac:dyDescent="0.25" r="98" customHeight="1" ht="18.75" hidden="1">
      <c r="A98" s="12" t="s">
        <v>301</v>
      </c>
      <c r="B98" s="9">
        <v>45824</v>
      </c>
      <c r="C98" s="12" t="s">
        <v>3</v>
      </c>
      <c r="D98" s="12" t="s">
        <v>302</v>
      </c>
      <c r="E98" s="12" t="s">
        <v>3</v>
      </c>
      <c r="F98" s="12" t="s">
        <v>303</v>
      </c>
    </row>
    <row x14ac:dyDescent="0.25" r="99" customHeight="1" ht="18.75" hidden="1">
      <c r="A99" s="12" t="s">
        <v>304</v>
      </c>
      <c r="B99" s="9">
        <v>45824</v>
      </c>
      <c r="C99" s="12" t="s">
        <v>2</v>
      </c>
      <c r="D99" s="12" t="s">
        <v>305</v>
      </c>
      <c r="E99" s="12" t="s">
        <v>2</v>
      </c>
      <c r="F99" s="12" t="s">
        <v>306</v>
      </c>
    </row>
    <row x14ac:dyDescent="0.25" r="100" customHeight="1" ht="18.75" hidden="1">
      <c r="A100" s="12" t="s">
        <v>307</v>
      </c>
      <c r="B100" s="9">
        <v>45824</v>
      </c>
      <c r="C100" s="12" t="s">
        <v>3</v>
      </c>
      <c r="D100" s="12" t="s">
        <v>308</v>
      </c>
      <c r="E100" s="12" t="s">
        <v>3</v>
      </c>
      <c r="F100" s="12" t="s">
        <v>309</v>
      </c>
    </row>
    <row x14ac:dyDescent="0.25" r="101" customHeight="1" ht="18.75" hidden="1">
      <c r="A101" s="12" t="s">
        <v>310</v>
      </c>
      <c r="B101" s="9">
        <v>45824</v>
      </c>
      <c r="C101" s="12" t="s">
        <v>2</v>
      </c>
      <c r="D101" s="12" t="s">
        <v>311</v>
      </c>
      <c r="E101" s="12" t="s">
        <v>2</v>
      </c>
      <c r="F101" s="12" t="s">
        <v>312</v>
      </c>
    </row>
    <row x14ac:dyDescent="0.25" r="102" customHeight="1" ht="18.75">
      <c r="A102" s="12" t="s">
        <v>313</v>
      </c>
      <c r="B102" s="9">
        <v>45824</v>
      </c>
      <c r="C102" s="12" t="s">
        <v>101</v>
      </c>
      <c r="D102" s="12" t="s">
        <v>314</v>
      </c>
      <c r="E102" s="12" t="s">
        <v>13</v>
      </c>
      <c r="F102" s="12" t="s">
        <v>315</v>
      </c>
    </row>
    <row x14ac:dyDescent="0.25" r="103" customHeight="1" ht="18.75">
      <c r="A103" s="12" t="s">
        <v>316</v>
      </c>
      <c r="B103" s="9">
        <v>45824</v>
      </c>
      <c r="C103" s="12" t="s">
        <v>101</v>
      </c>
      <c r="D103" s="12" t="s">
        <v>317</v>
      </c>
      <c r="E103" s="12" t="s">
        <v>13</v>
      </c>
      <c r="F103" s="12" t="s">
        <v>318</v>
      </c>
    </row>
    <row x14ac:dyDescent="0.25" r="104" customHeight="1" ht="18.75">
      <c r="A104" s="12" t="s">
        <v>319</v>
      </c>
      <c r="B104" s="9">
        <v>45824</v>
      </c>
      <c r="C104" s="12" t="s">
        <v>101</v>
      </c>
      <c r="D104" s="12" t="s">
        <v>320</v>
      </c>
      <c r="E104" s="12" t="s">
        <v>13</v>
      </c>
      <c r="F104" s="12" t="s">
        <v>321</v>
      </c>
    </row>
    <row x14ac:dyDescent="0.25" r="105" customHeight="1" ht="18.75" hidden="1">
      <c r="A105" s="12" t="s">
        <v>322</v>
      </c>
      <c r="B105" s="9">
        <v>45824</v>
      </c>
      <c r="C105" s="12" t="s">
        <v>101</v>
      </c>
      <c r="D105" s="12" t="s">
        <v>323</v>
      </c>
      <c r="E105" s="12" t="s">
        <v>3</v>
      </c>
      <c r="F105" s="12" t="s">
        <v>324</v>
      </c>
    </row>
    <row x14ac:dyDescent="0.25" r="106" customHeight="1" ht="18.75">
      <c r="A106" s="12" t="s">
        <v>325</v>
      </c>
      <c r="B106" s="9">
        <v>45823</v>
      </c>
      <c r="C106" s="12" t="s">
        <v>13</v>
      </c>
      <c r="D106" s="12" t="s">
        <v>326</v>
      </c>
      <c r="E106" s="12" t="s">
        <v>13</v>
      </c>
      <c r="F106" s="12" t="s">
        <v>327</v>
      </c>
    </row>
    <row x14ac:dyDescent="0.25" r="107" customHeight="1" ht="18.75" hidden="1">
      <c r="A107" s="12" t="s">
        <v>328</v>
      </c>
      <c r="B107" s="9">
        <v>45823</v>
      </c>
      <c r="C107" s="12" t="s">
        <v>2</v>
      </c>
      <c r="D107" s="12" t="s">
        <v>329</v>
      </c>
      <c r="E107" s="12" t="s">
        <v>2</v>
      </c>
      <c r="F107" s="12" t="s">
        <v>330</v>
      </c>
    </row>
    <row x14ac:dyDescent="0.25" r="108" customHeight="1" ht="18.75" hidden="1">
      <c r="A108" s="12" t="s">
        <v>331</v>
      </c>
      <c r="B108" s="9">
        <v>45823</v>
      </c>
      <c r="C108" s="12" t="s">
        <v>2</v>
      </c>
      <c r="D108" s="12" t="s">
        <v>332</v>
      </c>
      <c r="E108" s="12" t="s">
        <v>2</v>
      </c>
      <c r="F108" s="12" t="s">
        <v>333</v>
      </c>
    </row>
    <row x14ac:dyDescent="0.25" r="109" customHeight="1" ht="18.75" hidden="1">
      <c r="A109" s="12" t="s">
        <v>334</v>
      </c>
      <c r="B109" s="9">
        <v>45823</v>
      </c>
      <c r="C109" s="12" t="s">
        <v>2</v>
      </c>
      <c r="D109" s="12" t="s">
        <v>335</v>
      </c>
      <c r="E109" s="12" t="s">
        <v>2</v>
      </c>
      <c r="F109" s="12" t="s">
        <v>336</v>
      </c>
    </row>
    <row x14ac:dyDescent="0.25" r="110" customHeight="1" ht="18.75" hidden="1">
      <c r="A110" s="12" t="s">
        <v>337</v>
      </c>
      <c r="B110" s="9">
        <v>45823</v>
      </c>
      <c r="C110" s="12" t="s">
        <v>2</v>
      </c>
      <c r="D110" s="12" t="s">
        <v>338</v>
      </c>
      <c r="E110" s="12" t="s">
        <v>2</v>
      </c>
      <c r="F110" s="12" t="s">
        <v>339</v>
      </c>
    </row>
    <row x14ac:dyDescent="0.25" r="111" customHeight="1" ht="18.75">
      <c r="A111" s="12" t="s">
        <v>340</v>
      </c>
      <c r="B111" s="9">
        <v>45823</v>
      </c>
      <c r="C111" s="12" t="s">
        <v>2</v>
      </c>
      <c r="D111" s="12" t="s">
        <v>341</v>
      </c>
      <c r="E111" s="12" t="s">
        <v>13</v>
      </c>
      <c r="F111" s="12" t="s">
        <v>342</v>
      </c>
    </row>
    <row x14ac:dyDescent="0.25" r="112" customHeight="1" ht="18.75" hidden="1">
      <c r="A112" s="12" t="s">
        <v>343</v>
      </c>
      <c r="B112" s="9">
        <v>45823</v>
      </c>
      <c r="C112" s="12" t="s">
        <v>2</v>
      </c>
      <c r="D112" s="12" t="s">
        <v>344</v>
      </c>
      <c r="E112" s="12" t="s">
        <v>2</v>
      </c>
      <c r="F112" s="12" t="s">
        <v>345</v>
      </c>
    </row>
    <row x14ac:dyDescent="0.25" r="113" customHeight="1" ht="18.75" hidden="1">
      <c r="A113" s="12" t="s">
        <v>346</v>
      </c>
      <c r="B113" s="9">
        <v>45823</v>
      </c>
      <c r="C113" s="12" t="s">
        <v>2</v>
      </c>
      <c r="D113" s="12" t="s">
        <v>347</v>
      </c>
      <c r="E113" s="12" t="s">
        <v>2</v>
      </c>
      <c r="F113" s="12" t="s">
        <v>348</v>
      </c>
    </row>
    <row x14ac:dyDescent="0.25" r="114" customHeight="1" ht="18.75" hidden="1">
      <c r="A114" s="12" t="s">
        <v>349</v>
      </c>
      <c r="B114" s="9">
        <v>45823</v>
      </c>
      <c r="C114" s="12" t="s">
        <v>2</v>
      </c>
      <c r="D114" s="12" t="s">
        <v>350</v>
      </c>
      <c r="E114" s="12" t="s">
        <v>2</v>
      </c>
      <c r="F114" s="12" t="s">
        <v>351</v>
      </c>
    </row>
    <row x14ac:dyDescent="0.25" r="115" customHeight="1" ht="18.75" hidden="1">
      <c r="A115" s="12" t="s">
        <v>352</v>
      </c>
      <c r="B115" s="9">
        <v>45823</v>
      </c>
      <c r="C115" s="12" t="s">
        <v>3</v>
      </c>
      <c r="D115" s="12" t="s">
        <v>353</v>
      </c>
      <c r="E115" s="12" t="s">
        <v>3</v>
      </c>
      <c r="F115" s="12" t="s">
        <v>354</v>
      </c>
    </row>
    <row x14ac:dyDescent="0.25" r="116" customHeight="1" ht="18.75" hidden="1">
      <c r="A116" s="12" t="s">
        <v>355</v>
      </c>
      <c r="B116" s="9">
        <v>45823</v>
      </c>
      <c r="C116" s="12" t="s">
        <v>2</v>
      </c>
      <c r="D116" s="12" t="s">
        <v>356</v>
      </c>
      <c r="E116" s="12" t="s">
        <v>2</v>
      </c>
      <c r="F116" s="12" t="s">
        <v>357</v>
      </c>
    </row>
    <row x14ac:dyDescent="0.25" r="117" customHeight="1" ht="18.75">
      <c r="A117" s="12" t="s">
        <v>358</v>
      </c>
      <c r="B117" s="9">
        <v>45823</v>
      </c>
      <c r="C117" s="12" t="s">
        <v>101</v>
      </c>
      <c r="D117" s="12" t="s">
        <v>359</v>
      </c>
      <c r="E117" s="12" t="s">
        <v>13</v>
      </c>
      <c r="F117" s="12" t="s">
        <v>360</v>
      </c>
    </row>
    <row x14ac:dyDescent="0.25" r="118" customHeight="1" ht="18.75" hidden="1">
      <c r="A118" s="12" t="s">
        <v>361</v>
      </c>
      <c r="B118" s="9">
        <v>45823</v>
      </c>
      <c r="C118" s="12" t="s">
        <v>2</v>
      </c>
      <c r="D118" s="12" t="s">
        <v>362</v>
      </c>
      <c r="E118" s="12" t="s">
        <v>3</v>
      </c>
      <c r="F118" s="12" t="s">
        <v>363</v>
      </c>
    </row>
    <row x14ac:dyDescent="0.25" r="119" customHeight="1" ht="18.75">
      <c r="A119" s="12" t="s">
        <v>364</v>
      </c>
      <c r="B119" s="9">
        <v>45823</v>
      </c>
      <c r="C119" s="12" t="s">
        <v>101</v>
      </c>
      <c r="D119" s="12" t="s">
        <v>365</v>
      </c>
      <c r="E119" s="12" t="s">
        <v>13</v>
      </c>
      <c r="F119" s="12" t="s">
        <v>366</v>
      </c>
    </row>
    <row x14ac:dyDescent="0.25" r="120" customHeight="1" ht="18.75" hidden="1">
      <c r="A120" s="12" t="s">
        <v>367</v>
      </c>
      <c r="B120" s="9">
        <v>45823</v>
      </c>
      <c r="C120" s="12" t="s">
        <v>2</v>
      </c>
      <c r="D120" s="12" t="s">
        <v>368</v>
      </c>
      <c r="E120" s="12" t="s">
        <v>3</v>
      </c>
      <c r="F120" s="12" t="s">
        <v>369</v>
      </c>
    </row>
    <row x14ac:dyDescent="0.25" r="121" customHeight="1" ht="18.75" hidden="1">
      <c r="A121" s="12" t="s">
        <v>370</v>
      </c>
      <c r="B121" s="9">
        <v>45823</v>
      </c>
      <c r="C121" s="12" t="s">
        <v>2</v>
      </c>
      <c r="D121" s="12" t="s">
        <v>371</v>
      </c>
      <c r="E121" s="12" t="s">
        <v>2</v>
      </c>
      <c r="F121" s="12" t="s">
        <v>372</v>
      </c>
    </row>
    <row x14ac:dyDescent="0.25" r="122" customHeight="1" ht="18.75" hidden="1">
      <c r="A122" s="12" t="s">
        <v>373</v>
      </c>
      <c r="B122" s="9">
        <v>45822</v>
      </c>
      <c r="C122" s="12" t="s">
        <v>3</v>
      </c>
      <c r="D122" s="12" t="s">
        <v>374</v>
      </c>
      <c r="E122" s="12" t="s">
        <v>3</v>
      </c>
      <c r="F122" s="12" t="s">
        <v>375</v>
      </c>
    </row>
    <row x14ac:dyDescent="0.25" r="123" customHeight="1" ht="18.75" hidden="1">
      <c r="A123" s="12" t="s">
        <v>376</v>
      </c>
      <c r="B123" s="9">
        <v>45822</v>
      </c>
      <c r="C123" s="12" t="s">
        <v>3</v>
      </c>
      <c r="D123" s="12" t="s">
        <v>377</v>
      </c>
      <c r="E123" s="12" t="s">
        <v>3</v>
      </c>
      <c r="F123" s="12" t="s">
        <v>378</v>
      </c>
    </row>
    <row x14ac:dyDescent="0.25" r="124" customHeight="1" ht="18.75" hidden="1">
      <c r="A124" s="12" t="s">
        <v>379</v>
      </c>
      <c r="B124" s="9">
        <v>45822</v>
      </c>
      <c r="C124" s="12" t="s">
        <v>2</v>
      </c>
      <c r="D124" s="12" t="s">
        <v>380</v>
      </c>
      <c r="E124" s="12" t="s">
        <v>2</v>
      </c>
      <c r="F124" s="12" t="s">
        <v>381</v>
      </c>
    </row>
    <row x14ac:dyDescent="0.25" r="125" customHeight="1" ht="18.75">
      <c r="A125" s="12" t="s">
        <v>382</v>
      </c>
      <c r="B125" s="9">
        <v>45822</v>
      </c>
      <c r="C125" s="12" t="s">
        <v>101</v>
      </c>
      <c r="D125" s="12" t="s">
        <v>383</v>
      </c>
      <c r="E125" s="12" t="s">
        <v>13</v>
      </c>
      <c r="F125" s="12" t="s">
        <v>384</v>
      </c>
    </row>
    <row x14ac:dyDescent="0.25" r="126" customHeight="1" ht="18.75" hidden="1">
      <c r="A126" s="12" t="s">
        <v>385</v>
      </c>
      <c r="B126" s="9">
        <v>45822</v>
      </c>
      <c r="C126" s="12" t="s">
        <v>2</v>
      </c>
      <c r="D126" s="12" t="s">
        <v>386</v>
      </c>
      <c r="E126" s="12" t="s">
        <v>2</v>
      </c>
      <c r="F126" s="12" t="s">
        <v>387</v>
      </c>
    </row>
    <row x14ac:dyDescent="0.25" r="127" customHeight="1" ht="18.75" hidden="1">
      <c r="A127" s="12" t="s">
        <v>388</v>
      </c>
      <c r="B127" s="9">
        <v>45822</v>
      </c>
      <c r="C127" s="12" t="s">
        <v>2</v>
      </c>
      <c r="D127" s="12" t="s">
        <v>389</v>
      </c>
      <c r="E127" s="12" t="s">
        <v>2</v>
      </c>
      <c r="F127" s="12" t="s">
        <v>390</v>
      </c>
    </row>
    <row x14ac:dyDescent="0.25" r="128" customHeight="1" ht="18.75" hidden="1">
      <c r="A128" s="12" t="s">
        <v>391</v>
      </c>
      <c r="B128" s="9">
        <v>45822</v>
      </c>
      <c r="C128" s="12" t="s">
        <v>2</v>
      </c>
      <c r="D128" s="12" t="s">
        <v>392</v>
      </c>
      <c r="E128" s="12" t="s">
        <v>2</v>
      </c>
      <c r="F128" s="12" t="s">
        <v>393</v>
      </c>
    </row>
    <row x14ac:dyDescent="0.25" r="129" customHeight="1" ht="18.75" hidden="1">
      <c r="A129" s="12" t="s">
        <v>394</v>
      </c>
      <c r="B129" s="9">
        <v>45821</v>
      </c>
      <c r="C129" s="12" t="s">
        <v>2</v>
      </c>
      <c r="D129" s="12" t="s">
        <v>395</v>
      </c>
      <c r="E129" s="12" t="s">
        <v>2</v>
      </c>
      <c r="F129" s="12" t="s">
        <v>396</v>
      </c>
    </row>
    <row x14ac:dyDescent="0.25" r="130" customHeight="1" ht="18.75">
      <c r="A130" s="12" t="s">
        <v>397</v>
      </c>
      <c r="B130" s="9">
        <v>45821</v>
      </c>
      <c r="C130" s="12" t="s">
        <v>2</v>
      </c>
      <c r="D130" s="12" t="s">
        <v>398</v>
      </c>
      <c r="E130" s="12" t="s">
        <v>13</v>
      </c>
      <c r="F130" s="12" t="s">
        <v>399</v>
      </c>
    </row>
    <row x14ac:dyDescent="0.25" r="131" customHeight="1" ht="18.75" hidden="1">
      <c r="A131" s="12" t="s">
        <v>400</v>
      </c>
      <c r="B131" s="9">
        <v>45821</v>
      </c>
      <c r="C131" s="12" t="s">
        <v>2</v>
      </c>
      <c r="D131" s="12" t="s">
        <v>401</v>
      </c>
      <c r="E131" s="12" t="s">
        <v>3</v>
      </c>
      <c r="F131" s="12" t="s">
        <v>402</v>
      </c>
    </row>
    <row x14ac:dyDescent="0.25" r="132" customHeight="1" ht="18.75" hidden="1">
      <c r="A132" s="12" t="s">
        <v>403</v>
      </c>
      <c r="B132" s="9">
        <v>45821</v>
      </c>
      <c r="C132" s="12" t="s">
        <v>2</v>
      </c>
      <c r="D132" s="12" t="s">
        <v>404</v>
      </c>
      <c r="E132" s="12" t="s">
        <v>2</v>
      </c>
      <c r="F132" s="12" t="s">
        <v>405</v>
      </c>
    </row>
    <row x14ac:dyDescent="0.25" r="133" customHeight="1" ht="18.75" hidden="1">
      <c r="A133" s="12" t="s">
        <v>406</v>
      </c>
      <c r="B133" s="9">
        <v>45821</v>
      </c>
      <c r="C133" s="12" t="s">
        <v>2</v>
      </c>
      <c r="D133" s="12" t="s">
        <v>407</v>
      </c>
      <c r="E133" s="12" t="s">
        <v>2</v>
      </c>
      <c r="F133" s="12" t="s">
        <v>408</v>
      </c>
    </row>
    <row x14ac:dyDescent="0.25" r="134" customHeight="1" ht="18.75" hidden="1">
      <c r="A134" s="12" t="s">
        <v>409</v>
      </c>
      <c r="B134" s="9">
        <v>45821</v>
      </c>
      <c r="C134" s="12" t="s">
        <v>101</v>
      </c>
      <c r="D134" s="12" t="s">
        <v>410</v>
      </c>
      <c r="E134" s="12" t="s">
        <v>2</v>
      </c>
      <c r="F134" s="12" t="s">
        <v>411</v>
      </c>
    </row>
    <row x14ac:dyDescent="0.25" r="135" customHeight="1" ht="18.75" hidden="1">
      <c r="A135" s="12" t="s">
        <v>412</v>
      </c>
      <c r="B135" s="9">
        <v>45821</v>
      </c>
      <c r="C135" s="12" t="s">
        <v>2</v>
      </c>
      <c r="D135" s="12" t="s">
        <v>413</v>
      </c>
      <c r="E135" s="12" t="s">
        <v>2</v>
      </c>
      <c r="F135" s="12" t="s">
        <v>414</v>
      </c>
    </row>
    <row x14ac:dyDescent="0.25" r="136" customHeight="1" ht="18.75" hidden="1">
      <c r="A136" s="12" t="s">
        <v>415</v>
      </c>
      <c r="B136" s="9">
        <v>45821</v>
      </c>
      <c r="C136" s="12" t="s">
        <v>3</v>
      </c>
      <c r="D136" s="12" t="s">
        <v>416</v>
      </c>
      <c r="E136" s="12" t="s">
        <v>3</v>
      </c>
      <c r="F136" s="12" t="s">
        <v>417</v>
      </c>
    </row>
    <row x14ac:dyDescent="0.25" r="137" customHeight="1" ht="18.75" hidden="1">
      <c r="A137" s="12" t="s">
        <v>418</v>
      </c>
      <c r="B137" s="9">
        <v>45821</v>
      </c>
      <c r="C137" s="12" t="s">
        <v>3</v>
      </c>
      <c r="D137" s="12" t="s">
        <v>419</v>
      </c>
      <c r="E137" s="12" t="s">
        <v>3</v>
      </c>
      <c r="F137" s="12" t="s">
        <v>420</v>
      </c>
    </row>
    <row x14ac:dyDescent="0.25" r="138" customHeight="1" ht="18.75" hidden="1">
      <c r="A138" s="12" t="s">
        <v>421</v>
      </c>
      <c r="B138" s="9">
        <v>45821</v>
      </c>
      <c r="C138" s="12" t="s">
        <v>2</v>
      </c>
      <c r="D138" s="12" t="s">
        <v>422</v>
      </c>
      <c r="E138" s="12" t="s">
        <v>2</v>
      </c>
      <c r="F138" s="12" t="s">
        <v>423</v>
      </c>
    </row>
    <row x14ac:dyDescent="0.25" r="139" customHeight="1" ht="18.75" hidden="1">
      <c r="A139" s="12" t="s">
        <v>424</v>
      </c>
      <c r="B139" s="9">
        <v>45821</v>
      </c>
      <c r="C139" s="12" t="s">
        <v>3</v>
      </c>
      <c r="D139" s="12" t="s">
        <v>425</v>
      </c>
      <c r="E139" s="12" t="s">
        <v>3</v>
      </c>
      <c r="F139" s="12" t="s">
        <v>426</v>
      </c>
    </row>
    <row x14ac:dyDescent="0.25" r="140" customHeight="1" ht="18.75" hidden="1">
      <c r="A140" s="12" t="s">
        <v>427</v>
      </c>
      <c r="B140" s="9">
        <v>45821</v>
      </c>
      <c r="C140" s="12" t="s">
        <v>2</v>
      </c>
      <c r="D140" s="12" t="s">
        <v>428</v>
      </c>
      <c r="E140" s="12" t="s">
        <v>2</v>
      </c>
      <c r="F140" s="12" t="s">
        <v>429</v>
      </c>
    </row>
    <row x14ac:dyDescent="0.25" r="141" customHeight="1" ht="18.75" hidden="1">
      <c r="A141" s="12" t="s">
        <v>430</v>
      </c>
      <c r="B141" s="9">
        <v>45821</v>
      </c>
      <c r="C141" s="12" t="s">
        <v>2</v>
      </c>
      <c r="D141" s="12" t="s">
        <v>431</v>
      </c>
      <c r="E141" s="12" t="s">
        <v>2</v>
      </c>
      <c r="F141" s="12" t="s">
        <v>432</v>
      </c>
    </row>
    <row x14ac:dyDescent="0.25" r="142" customHeight="1" ht="18.75" hidden="1">
      <c r="A142" s="12" t="s">
        <v>433</v>
      </c>
      <c r="B142" s="9">
        <v>45821</v>
      </c>
      <c r="C142" s="12" t="s">
        <v>2</v>
      </c>
      <c r="D142" s="12" t="s">
        <v>434</v>
      </c>
      <c r="E142" s="12" t="s">
        <v>2</v>
      </c>
      <c r="F142" s="12" t="s">
        <v>435</v>
      </c>
    </row>
    <row x14ac:dyDescent="0.25" r="143" customHeight="1" ht="18.75" hidden="1">
      <c r="A143" s="12" t="s">
        <v>436</v>
      </c>
      <c r="B143" s="9">
        <v>45821</v>
      </c>
      <c r="C143" s="12" t="s">
        <v>3</v>
      </c>
      <c r="D143" s="12" t="s">
        <v>437</v>
      </c>
      <c r="E143" s="12" t="s">
        <v>3</v>
      </c>
      <c r="F143" s="12" t="s">
        <v>438</v>
      </c>
    </row>
    <row x14ac:dyDescent="0.25" r="144" customHeight="1" ht="18.75">
      <c r="A144" s="12" t="s">
        <v>439</v>
      </c>
      <c r="B144" s="9">
        <v>45821</v>
      </c>
      <c r="C144" s="12" t="s">
        <v>13</v>
      </c>
      <c r="D144" s="12" t="s">
        <v>440</v>
      </c>
      <c r="E144" s="12" t="s">
        <v>13</v>
      </c>
      <c r="F144" s="12" t="s">
        <v>441</v>
      </c>
    </row>
    <row x14ac:dyDescent="0.25" r="145" customHeight="1" ht="18.75" hidden="1">
      <c r="A145" s="12" t="s">
        <v>442</v>
      </c>
      <c r="B145" s="9">
        <v>45821</v>
      </c>
      <c r="C145" s="12" t="s">
        <v>2</v>
      </c>
      <c r="D145" s="12" t="s">
        <v>443</v>
      </c>
      <c r="E145" s="12" t="s">
        <v>2</v>
      </c>
      <c r="F145" s="12" t="s">
        <v>444</v>
      </c>
    </row>
    <row x14ac:dyDescent="0.25" r="146" customHeight="1" ht="18.75" hidden="1">
      <c r="A146" s="12" t="s">
        <v>445</v>
      </c>
      <c r="B146" s="9">
        <v>45821</v>
      </c>
      <c r="C146" s="12" t="s">
        <v>2</v>
      </c>
      <c r="D146" s="12" t="s">
        <v>446</v>
      </c>
      <c r="E146" s="12" t="s">
        <v>2</v>
      </c>
      <c r="F146" s="12" t="s">
        <v>447</v>
      </c>
    </row>
    <row x14ac:dyDescent="0.25" r="147" customHeight="1" ht="18.75" hidden="1">
      <c r="A147" s="12" t="s">
        <v>448</v>
      </c>
      <c r="B147" s="9">
        <v>45821</v>
      </c>
      <c r="C147" s="12" t="s">
        <v>3</v>
      </c>
      <c r="D147" s="12" t="s">
        <v>449</v>
      </c>
      <c r="E147" s="12" t="s">
        <v>2</v>
      </c>
      <c r="F147" s="12" t="s">
        <v>450</v>
      </c>
    </row>
    <row x14ac:dyDescent="0.25" r="148" customHeight="1" ht="18.75" hidden="1">
      <c r="A148" s="12" t="s">
        <v>451</v>
      </c>
      <c r="B148" s="9">
        <v>45821</v>
      </c>
      <c r="C148" s="12" t="s">
        <v>2</v>
      </c>
      <c r="D148" s="12" t="s">
        <v>452</v>
      </c>
      <c r="E148" s="12" t="s">
        <v>2</v>
      </c>
      <c r="F148" s="12" t="s">
        <v>453</v>
      </c>
    </row>
    <row x14ac:dyDescent="0.25" r="149" customHeight="1" ht="18.75" hidden="1">
      <c r="A149" s="12" t="s">
        <v>454</v>
      </c>
      <c r="B149" s="9">
        <v>45821</v>
      </c>
      <c r="C149" s="12" t="s">
        <v>2</v>
      </c>
      <c r="D149" s="12" t="s">
        <v>455</v>
      </c>
      <c r="E149" s="12" t="s">
        <v>2</v>
      </c>
      <c r="F149" s="12" t="s">
        <v>456</v>
      </c>
    </row>
    <row x14ac:dyDescent="0.25" r="150" customHeight="1" ht="18.75" hidden="1">
      <c r="A150" s="12" t="s">
        <v>457</v>
      </c>
      <c r="B150" s="9">
        <v>45821</v>
      </c>
      <c r="C150" s="12" t="s">
        <v>2</v>
      </c>
      <c r="D150" s="12" t="s">
        <v>458</v>
      </c>
      <c r="E150" s="12" t="s">
        <v>2</v>
      </c>
      <c r="F150" s="12" t="s">
        <v>459</v>
      </c>
    </row>
    <row x14ac:dyDescent="0.25" r="151" customHeight="1" ht="18.75" hidden="1">
      <c r="A151" s="12" t="s">
        <v>460</v>
      </c>
      <c r="B151" s="9">
        <v>45821</v>
      </c>
      <c r="C151" s="12" t="s">
        <v>2</v>
      </c>
      <c r="D151" s="12" t="s">
        <v>461</v>
      </c>
      <c r="E151" s="12" t="s">
        <v>2</v>
      </c>
      <c r="F151" s="12" t="s">
        <v>462</v>
      </c>
    </row>
    <row x14ac:dyDescent="0.25" r="152" customHeight="1" ht="18.75">
      <c r="A152" s="12" t="s">
        <v>463</v>
      </c>
      <c r="B152" s="9">
        <v>45821</v>
      </c>
      <c r="C152" s="12" t="s">
        <v>2</v>
      </c>
      <c r="D152" s="12" t="s">
        <v>464</v>
      </c>
      <c r="E152" s="12" t="s">
        <v>4</v>
      </c>
      <c r="F152" s="12" t="s">
        <v>465</v>
      </c>
    </row>
    <row x14ac:dyDescent="0.25" r="153" customHeight="1" ht="18.75" hidden="1">
      <c r="A153" s="12" t="s">
        <v>466</v>
      </c>
      <c r="B153" s="9">
        <v>45821</v>
      </c>
      <c r="C153" s="12" t="s">
        <v>2</v>
      </c>
      <c r="D153" s="12" t="s">
        <v>467</v>
      </c>
      <c r="E153" s="12" t="s">
        <v>2</v>
      </c>
      <c r="F153" s="12" t="s">
        <v>468</v>
      </c>
    </row>
    <row x14ac:dyDescent="0.25" r="154" customHeight="1" ht="18.75" hidden="1">
      <c r="A154" s="12" t="s">
        <v>469</v>
      </c>
      <c r="B154" s="9">
        <v>45821</v>
      </c>
      <c r="C154" s="12" t="s">
        <v>2</v>
      </c>
      <c r="D154" s="12" t="s">
        <v>470</v>
      </c>
      <c r="E154" s="12" t="s">
        <v>2</v>
      </c>
      <c r="F154" s="12" t="s">
        <v>471</v>
      </c>
    </row>
    <row x14ac:dyDescent="0.25" r="155" customHeight="1" ht="18.75" hidden="1">
      <c r="A155" s="12" t="s">
        <v>472</v>
      </c>
      <c r="B155" s="9">
        <v>45821</v>
      </c>
      <c r="C155" s="12" t="s">
        <v>3</v>
      </c>
      <c r="D155" s="12" t="s">
        <v>473</v>
      </c>
      <c r="E155" s="12" t="s">
        <v>3</v>
      </c>
      <c r="F155" s="12" t="s">
        <v>474</v>
      </c>
    </row>
    <row x14ac:dyDescent="0.25" r="156" customHeight="1" ht="18.75" hidden="1">
      <c r="A156" s="12" t="s">
        <v>475</v>
      </c>
      <c r="B156" s="9">
        <v>45821</v>
      </c>
      <c r="C156" s="12" t="s">
        <v>2</v>
      </c>
      <c r="D156" s="12" t="s">
        <v>476</v>
      </c>
      <c r="E156" s="12" t="s">
        <v>3</v>
      </c>
      <c r="F156" s="12" t="s">
        <v>477</v>
      </c>
    </row>
    <row x14ac:dyDescent="0.25" r="157" customHeight="1" ht="18.75">
      <c r="A157" s="12" t="s">
        <v>478</v>
      </c>
      <c r="B157" s="9">
        <v>45821</v>
      </c>
      <c r="C157" s="12" t="s">
        <v>2</v>
      </c>
      <c r="D157" s="12" t="s">
        <v>479</v>
      </c>
      <c r="E157" s="12" t="s">
        <v>13</v>
      </c>
      <c r="F157" s="12" t="s">
        <v>480</v>
      </c>
    </row>
    <row x14ac:dyDescent="0.25" r="158" customHeight="1" ht="18.75" hidden="1">
      <c r="A158" s="12" t="s">
        <v>481</v>
      </c>
      <c r="B158" s="9">
        <v>45821</v>
      </c>
      <c r="C158" s="12" t="s">
        <v>2</v>
      </c>
      <c r="D158" s="12" t="s">
        <v>482</v>
      </c>
      <c r="E158" s="12" t="s">
        <v>2</v>
      </c>
      <c r="F158" s="12" t="s">
        <v>483</v>
      </c>
    </row>
    <row x14ac:dyDescent="0.25" r="159" customHeight="1" ht="18.75" hidden="1">
      <c r="A159" s="12" t="s">
        <v>484</v>
      </c>
      <c r="B159" s="9">
        <v>45821</v>
      </c>
      <c r="C159" s="12" t="s">
        <v>2</v>
      </c>
      <c r="D159" s="12" t="s">
        <v>485</v>
      </c>
      <c r="E159" s="12" t="s">
        <v>2</v>
      </c>
      <c r="F159" s="12" t="s">
        <v>486</v>
      </c>
    </row>
    <row x14ac:dyDescent="0.25" r="160" customHeight="1" ht="18.75" hidden="1">
      <c r="A160" s="12" t="s">
        <v>487</v>
      </c>
      <c r="B160" s="9">
        <v>45821</v>
      </c>
      <c r="C160" s="12" t="s">
        <v>2</v>
      </c>
      <c r="D160" s="12" t="s">
        <v>488</v>
      </c>
      <c r="E160" s="12" t="s">
        <v>2</v>
      </c>
      <c r="F160" s="12" t="s">
        <v>489</v>
      </c>
    </row>
    <row x14ac:dyDescent="0.25" r="161" customHeight="1" ht="18.75" hidden="1">
      <c r="A161" s="12" t="s">
        <v>490</v>
      </c>
      <c r="B161" s="9">
        <v>45821</v>
      </c>
      <c r="C161" s="12" t="s">
        <v>2</v>
      </c>
      <c r="D161" s="12" t="s">
        <v>491</v>
      </c>
      <c r="E161" s="12" t="s">
        <v>2</v>
      </c>
      <c r="F161" s="12" t="s">
        <v>492</v>
      </c>
    </row>
    <row x14ac:dyDescent="0.25" r="162" customHeight="1" ht="18.75" hidden="1">
      <c r="A162" s="12" t="s">
        <v>493</v>
      </c>
      <c r="B162" s="9">
        <v>45821</v>
      </c>
      <c r="C162" s="12" t="s">
        <v>3</v>
      </c>
      <c r="D162" s="12" t="s">
        <v>494</v>
      </c>
      <c r="E162" s="12" t="s">
        <v>3</v>
      </c>
      <c r="F162" s="12" t="s">
        <v>495</v>
      </c>
    </row>
    <row x14ac:dyDescent="0.25" r="163" customHeight="1" ht="18.75" hidden="1">
      <c r="A163" s="12" t="s">
        <v>496</v>
      </c>
      <c r="B163" s="9">
        <v>45821</v>
      </c>
      <c r="C163" s="12" t="s">
        <v>2</v>
      </c>
      <c r="D163" s="12" t="s">
        <v>497</v>
      </c>
      <c r="E163" s="12" t="s">
        <v>2</v>
      </c>
      <c r="F163" s="12" t="s">
        <v>498</v>
      </c>
    </row>
    <row x14ac:dyDescent="0.25" r="164" customHeight="1" ht="18.75">
      <c r="A164" s="12" t="s">
        <v>499</v>
      </c>
      <c r="B164" s="9">
        <v>45821</v>
      </c>
      <c r="C164" s="12" t="s">
        <v>13</v>
      </c>
      <c r="D164" s="12" t="s">
        <v>500</v>
      </c>
      <c r="E164" s="12" t="s">
        <v>13</v>
      </c>
      <c r="F164" s="12" t="s">
        <v>501</v>
      </c>
    </row>
    <row x14ac:dyDescent="0.25" r="165" customHeight="1" ht="18.75" hidden="1">
      <c r="A165" s="12" t="s">
        <v>502</v>
      </c>
      <c r="B165" s="9">
        <v>45821</v>
      </c>
      <c r="C165" s="12" t="s">
        <v>2</v>
      </c>
      <c r="D165" s="12" t="s">
        <v>503</v>
      </c>
      <c r="E165" s="12" t="s">
        <v>2</v>
      </c>
      <c r="F165" s="12" t="s">
        <v>504</v>
      </c>
    </row>
    <row x14ac:dyDescent="0.25" r="166" customHeight="1" ht="18.75" hidden="1">
      <c r="A166" s="12" t="s">
        <v>505</v>
      </c>
      <c r="B166" s="9">
        <v>45821</v>
      </c>
      <c r="C166" s="12" t="s">
        <v>3</v>
      </c>
      <c r="D166" s="12" t="s">
        <v>506</v>
      </c>
      <c r="E166" s="12" t="s">
        <v>3</v>
      </c>
      <c r="F166" s="12" t="s">
        <v>507</v>
      </c>
    </row>
    <row x14ac:dyDescent="0.25" r="167" customHeight="1" ht="18.75" hidden="1">
      <c r="A167" s="12" t="s">
        <v>508</v>
      </c>
      <c r="B167" s="9">
        <v>45821</v>
      </c>
      <c r="C167" s="12" t="s">
        <v>3</v>
      </c>
      <c r="D167" s="12" t="s">
        <v>509</v>
      </c>
      <c r="E167" s="12" t="s">
        <v>3</v>
      </c>
      <c r="F167" s="12" t="s">
        <v>510</v>
      </c>
    </row>
    <row x14ac:dyDescent="0.25" r="168" customHeight="1" ht="18.75" hidden="1">
      <c r="A168" s="12" t="s">
        <v>511</v>
      </c>
      <c r="B168" s="9">
        <v>45821</v>
      </c>
      <c r="C168" s="12" t="s">
        <v>2</v>
      </c>
      <c r="D168" s="12" t="s">
        <v>512</v>
      </c>
      <c r="E168" s="12" t="s">
        <v>2</v>
      </c>
      <c r="F168" s="12" t="s">
        <v>513</v>
      </c>
    </row>
    <row x14ac:dyDescent="0.25" r="169" customHeight="1" ht="18.75" hidden="1">
      <c r="A169" s="12" t="s">
        <v>514</v>
      </c>
      <c r="B169" s="9">
        <v>45821</v>
      </c>
      <c r="C169" s="12" t="s">
        <v>2</v>
      </c>
      <c r="D169" s="12" t="s">
        <v>515</v>
      </c>
      <c r="E169" s="12" t="s">
        <v>2</v>
      </c>
      <c r="F169" s="12" t="s">
        <v>516</v>
      </c>
    </row>
    <row x14ac:dyDescent="0.25" r="170" customHeight="1" ht="18.75" hidden="1">
      <c r="A170" s="12" t="s">
        <v>517</v>
      </c>
      <c r="B170" s="9">
        <v>45821</v>
      </c>
      <c r="C170" s="12" t="s">
        <v>3</v>
      </c>
      <c r="D170" s="12" t="s">
        <v>518</v>
      </c>
      <c r="E170" s="12" t="s">
        <v>3</v>
      </c>
      <c r="F170" s="12" t="s">
        <v>519</v>
      </c>
    </row>
    <row x14ac:dyDescent="0.25" r="171" customHeight="1" ht="18.75" hidden="1">
      <c r="A171" s="12" t="s">
        <v>520</v>
      </c>
      <c r="B171" s="9">
        <v>45821</v>
      </c>
      <c r="C171" s="12" t="s">
        <v>2</v>
      </c>
      <c r="D171" s="12" t="s">
        <v>521</v>
      </c>
      <c r="E171" s="12" t="s">
        <v>2</v>
      </c>
      <c r="F171" s="12" t="s">
        <v>522</v>
      </c>
    </row>
    <row x14ac:dyDescent="0.25" r="172" customHeight="1" ht="18.75" hidden="1">
      <c r="A172" s="12" t="s">
        <v>523</v>
      </c>
      <c r="B172" s="9">
        <v>45821</v>
      </c>
      <c r="C172" s="12" t="s">
        <v>3</v>
      </c>
      <c r="D172" s="12" t="s">
        <v>524</v>
      </c>
      <c r="E172" s="12" t="s">
        <v>3</v>
      </c>
      <c r="F172" s="12" t="s">
        <v>525</v>
      </c>
    </row>
    <row x14ac:dyDescent="0.25" r="173" customHeight="1" ht="18.75" hidden="1">
      <c r="A173" s="12" t="s">
        <v>526</v>
      </c>
      <c r="B173" s="9">
        <v>45821</v>
      </c>
      <c r="C173" s="12" t="s">
        <v>3</v>
      </c>
      <c r="D173" s="12" t="s">
        <v>527</v>
      </c>
      <c r="E173" s="12" t="s">
        <v>2</v>
      </c>
      <c r="F173" s="12" t="s">
        <v>528</v>
      </c>
    </row>
    <row x14ac:dyDescent="0.25" r="174" customHeight="1" ht="18.75" hidden="1">
      <c r="A174" s="12" t="s">
        <v>529</v>
      </c>
      <c r="B174" s="9">
        <v>45821</v>
      </c>
      <c r="C174" s="12" t="s">
        <v>2</v>
      </c>
      <c r="D174" s="12" t="s">
        <v>530</v>
      </c>
      <c r="E174" s="12" t="s">
        <v>2</v>
      </c>
      <c r="F174" s="12" t="s">
        <v>531</v>
      </c>
    </row>
    <row x14ac:dyDescent="0.25" r="175" customHeight="1" ht="18.75" hidden="1">
      <c r="A175" s="12" t="s">
        <v>532</v>
      </c>
      <c r="B175" s="9">
        <v>45821</v>
      </c>
      <c r="C175" s="12" t="s">
        <v>2</v>
      </c>
      <c r="D175" s="12" t="s">
        <v>533</v>
      </c>
      <c r="E175" s="12" t="s">
        <v>2</v>
      </c>
      <c r="F175" s="12" t="s">
        <v>534</v>
      </c>
    </row>
    <row x14ac:dyDescent="0.25" r="176" customHeight="1" ht="18.75" hidden="1">
      <c r="A176" s="12" t="s">
        <v>535</v>
      </c>
      <c r="B176" s="9">
        <v>45821</v>
      </c>
      <c r="C176" s="12" t="s">
        <v>3</v>
      </c>
      <c r="D176" s="12" t="s">
        <v>536</v>
      </c>
      <c r="E176" s="12" t="s">
        <v>3</v>
      </c>
      <c r="F176" s="12" t="s">
        <v>537</v>
      </c>
    </row>
    <row x14ac:dyDescent="0.25" r="177" customHeight="1" ht="18.75" hidden="1">
      <c r="A177" s="12" t="s">
        <v>538</v>
      </c>
      <c r="B177" s="9">
        <v>45821</v>
      </c>
      <c r="C177" s="12" t="s">
        <v>2</v>
      </c>
      <c r="D177" s="12" t="s">
        <v>539</v>
      </c>
      <c r="E177" s="12" t="s">
        <v>2</v>
      </c>
      <c r="F177" s="12" t="s">
        <v>540</v>
      </c>
    </row>
    <row x14ac:dyDescent="0.25" r="178" customHeight="1" ht="18.75" hidden="1">
      <c r="A178" s="12" t="s">
        <v>541</v>
      </c>
      <c r="B178" s="9">
        <v>45821</v>
      </c>
      <c r="C178" s="12" t="s">
        <v>2</v>
      </c>
      <c r="D178" s="12" t="s">
        <v>542</v>
      </c>
      <c r="E178" s="12" t="s">
        <v>3</v>
      </c>
      <c r="F178" s="12" t="s">
        <v>543</v>
      </c>
    </row>
    <row x14ac:dyDescent="0.25" r="179" customHeight="1" ht="18.75" hidden="1">
      <c r="A179" s="12" t="s">
        <v>544</v>
      </c>
      <c r="B179" s="9">
        <v>45821</v>
      </c>
      <c r="C179" s="12" t="s">
        <v>2</v>
      </c>
      <c r="D179" s="12" t="s">
        <v>545</v>
      </c>
      <c r="E179" s="12" t="s">
        <v>2</v>
      </c>
      <c r="F179" s="12" t="s">
        <v>546</v>
      </c>
    </row>
    <row x14ac:dyDescent="0.25" r="180" customHeight="1" ht="18.75" hidden="1">
      <c r="A180" s="12" t="s">
        <v>547</v>
      </c>
      <c r="B180" s="9">
        <v>45821</v>
      </c>
      <c r="C180" s="12" t="s">
        <v>3</v>
      </c>
      <c r="D180" s="12" t="s">
        <v>548</v>
      </c>
      <c r="E180" s="12" t="s">
        <v>3</v>
      </c>
      <c r="F180" s="12" t="s">
        <v>549</v>
      </c>
    </row>
    <row x14ac:dyDescent="0.25" r="181" customHeight="1" ht="18.75" hidden="1">
      <c r="A181" s="12" t="s">
        <v>550</v>
      </c>
      <c r="B181" s="9">
        <v>45821</v>
      </c>
      <c r="C181" s="12" t="s">
        <v>2</v>
      </c>
      <c r="D181" s="12" t="s">
        <v>551</v>
      </c>
      <c r="E181" s="12" t="s">
        <v>2</v>
      </c>
      <c r="F181" s="12" t="s">
        <v>552</v>
      </c>
    </row>
    <row x14ac:dyDescent="0.25" r="182" customHeight="1" ht="18.75" hidden="1">
      <c r="A182" s="12" t="s">
        <v>553</v>
      </c>
      <c r="B182" s="9">
        <v>45821</v>
      </c>
      <c r="C182" s="12" t="s">
        <v>2</v>
      </c>
      <c r="D182" s="12" t="s">
        <v>554</v>
      </c>
      <c r="E182" s="12" t="s">
        <v>2</v>
      </c>
      <c r="F182" s="12" t="s">
        <v>555</v>
      </c>
    </row>
    <row x14ac:dyDescent="0.25" r="183" customHeight="1" ht="18.75" hidden="1">
      <c r="A183" s="12" t="s">
        <v>556</v>
      </c>
      <c r="B183" s="9">
        <v>45821</v>
      </c>
      <c r="C183" s="12" t="s">
        <v>2</v>
      </c>
      <c r="D183" s="12" t="s">
        <v>557</v>
      </c>
      <c r="E183" s="12" t="s">
        <v>2</v>
      </c>
      <c r="F183" s="12" t="s">
        <v>558</v>
      </c>
    </row>
    <row x14ac:dyDescent="0.25" r="184" customHeight="1" ht="18.75" hidden="1">
      <c r="A184" s="12" t="s">
        <v>559</v>
      </c>
      <c r="B184" s="9">
        <v>45821</v>
      </c>
      <c r="C184" s="12" t="s">
        <v>2</v>
      </c>
      <c r="D184" s="12" t="s">
        <v>560</v>
      </c>
      <c r="E184" s="12" t="s">
        <v>2</v>
      </c>
      <c r="F184" s="12" t="s">
        <v>561</v>
      </c>
    </row>
    <row x14ac:dyDescent="0.25" r="185" customHeight="1" ht="18.75" hidden="1">
      <c r="A185" s="12" t="s">
        <v>562</v>
      </c>
      <c r="B185" s="9">
        <v>45821</v>
      </c>
      <c r="C185" s="12" t="s">
        <v>2</v>
      </c>
      <c r="D185" s="12" t="s">
        <v>563</v>
      </c>
      <c r="E185" s="12" t="s">
        <v>2</v>
      </c>
      <c r="F185" s="12" t="s">
        <v>564</v>
      </c>
    </row>
    <row x14ac:dyDescent="0.25" r="186" customHeight="1" ht="18.75" hidden="1">
      <c r="A186" s="12" t="s">
        <v>565</v>
      </c>
      <c r="B186" s="9">
        <v>45821</v>
      </c>
      <c r="C186" s="12" t="s">
        <v>2</v>
      </c>
      <c r="D186" s="12" t="s">
        <v>566</v>
      </c>
      <c r="E186" s="12" t="s">
        <v>2</v>
      </c>
      <c r="F186" s="12" t="s">
        <v>567</v>
      </c>
    </row>
    <row x14ac:dyDescent="0.25" r="187" customHeight="1" ht="18.75" hidden="1">
      <c r="A187" s="12" t="s">
        <v>568</v>
      </c>
      <c r="B187" s="9">
        <v>45821</v>
      </c>
      <c r="C187" s="12" t="s">
        <v>2</v>
      </c>
      <c r="D187" s="12" t="s">
        <v>569</v>
      </c>
      <c r="E187" s="12" t="s">
        <v>2</v>
      </c>
      <c r="F187" s="12" t="s">
        <v>570</v>
      </c>
    </row>
    <row x14ac:dyDescent="0.25" r="188" customHeight="1" ht="18.75" hidden="1">
      <c r="A188" s="12" t="s">
        <v>571</v>
      </c>
      <c r="B188" s="9">
        <v>45821</v>
      </c>
      <c r="C188" s="12" t="s">
        <v>2</v>
      </c>
      <c r="D188" s="12" t="s">
        <v>572</v>
      </c>
      <c r="E188" s="12" t="s">
        <v>2</v>
      </c>
      <c r="F188" s="12" t="s">
        <v>573</v>
      </c>
    </row>
    <row x14ac:dyDescent="0.25" r="189" customHeight="1" ht="18.75" hidden="1">
      <c r="A189" s="12" t="s">
        <v>574</v>
      </c>
      <c r="B189" s="9">
        <v>45820</v>
      </c>
      <c r="C189" s="12" t="s">
        <v>3</v>
      </c>
      <c r="D189" s="12" t="s">
        <v>575</v>
      </c>
      <c r="E189" s="12" t="s">
        <v>3</v>
      </c>
      <c r="F189" s="12" t="s">
        <v>576</v>
      </c>
    </row>
    <row x14ac:dyDescent="0.25" r="190" customHeight="1" ht="18.75" hidden="1">
      <c r="A190" s="12" t="s">
        <v>577</v>
      </c>
      <c r="B190" s="9">
        <v>45820</v>
      </c>
      <c r="C190" s="12" t="s">
        <v>3</v>
      </c>
      <c r="D190" s="12" t="s">
        <v>578</v>
      </c>
      <c r="E190" s="12" t="s">
        <v>3</v>
      </c>
      <c r="F190" s="12" t="s">
        <v>579</v>
      </c>
    </row>
    <row x14ac:dyDescent="0.25" r="191" customHeight="1" ht="18.75" hidden="1">
      <c r="A191" s="12" t="s">
        <v>580</v>
      </c>
      <c r="B191" s="9">
        <v>45820</v>
      </c>
      <c r="C191" s="12" t="s">
        <v>3</v>
      </c>
      <c r="D191" s="12" t="s">
        <v>581</v>
      </c>
      <c r="E191" s="12" t="s">
        <v>3</v>
      </c>
      <c r="F191" s="12" t="s">
        <v>582</v>
      </c>
    </row>
    <row x14ac:dyDescent="0.25" r="192" customHeight="1" ht="18.75" hidden="1">
      <c r="A192" s="12" t="s">
        <v>583</v>
      </c>
      <c r="B192" s="9">
        <v>45820</v>
      </c>
      <c r="C192" s="12" t="s">
        <v>3</v>
      </c>
      <c r="D192" s="12" t="s">
        <v>584</v>
      </c>
      <c r="E192" s="12" t="s">
        <v>3</v>
      </c>
      <c r="F192" s="12" t="s">
        <v>585</v>
      </c>
    </row>
    <row x14ac:dyDescent="0.25" r="193" customHeight="1" ht="18.75" hidden="1">
      <c r="A193" s="12" t="s">
        <v>586</v>
      </c>
      <c r="B193" s="9">
        <v>45820</v>
      </c>
      <c r="C193" s="12" t="s">
        <v>3</v>
      </c>
      <c r="D193" s="12" t="s">
        <v>587</v>
      </c>
      <c r="E193" s="12" t="s">
        <v>3</v>
      </c>
      <c r="F193" s="12" t="s">
        <v>588</v>
      </c>
    </row>
    <row x14ac:dyDescent="0.25" r="194" customHeight="1" ht="18.75" hidden="1">
      <c r="A194" s="12" t="s">
        <v>589</v>
      </c>
      <c r="B194" s="9">
        <v>45820</v>
      </c>
      <c r="C194" s="12" t="s">
        <v>3</v>
      </c>
      <c r="D194" s="12" t="s">
        <v>590</v>
      </c>
      <c r="E194" s="12" t="s">
        <v>3</v>
      </c>
      <c r="F194" s="12" t="s">
        <v>591</v>
      </c>
    </row>
    <row x14ac:dyDescent="0.25" r="195" customHeight="1" ht="18.75" hidden="1">
      <c r="A195" s="12" t="s">
        <v>592</v>
      </c>
      <c r="B195" s="9">
        <v>45820</v>
      </c>
      <c r="C195" s="12" t="s">
        <v>2</v>
      </c>
      <c r="D195" s="12" t="s">
        <v>593</v>
      </c>
      <c r="E195" s="12" t="s">
        <v>2</v>
      </c>
      <c r="F195" s="12" t="s">
        <v>594</v>
      </c>
    </row>
    <row x14ac:dyDescent="0.25" r="196" customHeight="1" ht="18.75" hidden="1">
      <c r="A196" s="12" t="s">
        <v>595</v>
      </c>
      <c r="B196" s="9">
        <v>45820</v>
      </c>
      <c r="C196" s="12" t="s">
        <v>2</v>
      </c>
      <c r="D196" s="12" t="s">
        <v>596</v>
      </c>
      <c r="E196" s="12" t="s">
        <v>2</v>
      </c>
      <c r="F196" s="12" t="s">
        <v>597</v>
      </c>
    </row>
    <row x14ac:dyDescent="0.25" r="197" customHeight="1" ht="18.75">
      <c r="A197" s="12" t="s">
        <v>598</v>
      </c>
      <c r="B197" s="9">
        <v>45820</v>
      </c>
      <c r="C197" s="12" t="s">
        <v>101</v>
      </c>
      <c r="D197" s="12" t="s">
        <v>599</v>
      </c>
      <c r="E197" s="12" t="s">
        <v>13</v>
      </c>
      <c r="F197" s="12" t="s">
        <v>600</v>
      </c>
    </row>
    <row x14ac:dyDescent="0.25" r="198" customHeight="1" ht="18.75">
      <c r="A198" s="12" t="s">
        <v>601</v>
      </c>
      <c r="B198" s="9">
        <v>45820</v>
      </c>
      <c r="C198" s="12" t="s">
        <v>101</v>
      </c>
      <c r="D198" s="12" t="s">
        <v>602</v>
      </c>
      <c r="E198" s="12" t="s">
        <v>13</v>
      </c>
      <c r="F198" s="12" t="s">
        <v>603</v>
      </c>
    </row>
    <row x14ac:dyDescent="0.25" r="199" customHeight="1" ht="18.75">
      <c r="A199" s="12" t="s">
        <v>604</v>
      </c>
      <c r="B199" s="9">
        <v>45820</v>
      </c>
      <c r="C199" s="12" t="s">
        <v>101</v>
      </c>
      <c r="D199" s="12" t="s">
        <v>605</v>
      </c>
      <c r="E199" s="12" t="s">
        <v>4</v>
      </c>
      <c r="F199" s="12" t="s">
        <v>606</v>
      </c>
    </row>
    <row x14ac:dyDescent="0.25" r="200" customHeight="1" ht="18.75" hidden="1">
      <c r="A200" s="12" t="s">
        <v>607</v>
      </c>
      <c r="B200" s="9">
        <v>45820</v>
      </c>
      <c r="C200" s="12" t="s">
        <v>101</v>
      </c>
      <c r="D200" s="12" t="s">
        <v>608</v>
      </c>
      <c r="E200" s="12" t="s">
        <v>2</v>
      </c>
      <c r="F200" s="12" t="s">
        <v>609</v>
      </c>
    </row>
    <row x14ac:dyDescent="0.25" r="201" customHeight="1" ht="18.75">
      <c r="A201" s="12" t="s">
        <v>610</v>
      </c>
      <c r="B201" s="9">
        <v>45820</v>
      </c>
      <c r="C201" s="12" t="s">
        <v>101</v>
      </c>
      <c r="D201" s="12" t="s">
        <v>611</v>
      </c>
      <c r="E201" s="12" t="s">
        <v>13</v>
      </c>
      <c r="F201" s="12" t="s">
        <v>612</v>
      </c>
    </row>
    <row x14ac:dyDescent="0.25" r="202" customHeight="1" ht="18.75" hidden="1">
      <c r="A202" s="12" t="s">
        <v>613</v>
      </c>
      <c r="B202" s="9">
        <v>45820</v>
      </c>
      <c r="C202" s="12" t="s">
        <v>3</v>
      </c>
      <c r="D202" s="12" t="s">
        <v>614</v>
      </c>
      <c r="E202" s="12" t="s">
        <v>3</v>
      </c>
      <c r="F202" s="12" t="s">
        <v>615</v>
      </c>
    </row>
    <row x14ac:dyDescent="0.25" r="203" customHeight="1" ht="18.75" hidden="1">
      <c r="A203" s="12" t="s">
        <v>616</v>
      </c>
      <c r="B203" s="9">
        <v>45820</v>
      </c>
      <c r="C203" s="12" t="s">
        <v>3</v>
      </c>
      <c r="D203" s="12" t="s">
        <v>617</v>
      </c>
      <c r="E203" s="12" t="s">
        <v>3</v>
      </c>
      <c r="F203" s="12" t="s">
        <v>618</v>
      </c>
    </row>
    <row x14ac:dyDescent="0.25" r="204" customHeight="1" ht="18.75" hidden="1">
      <c r="A204" s="12" t="s">
        <v>619</v>
      </c>
      <c r="B204" s="9">
        <v>45820</v>
      </c>
      <c r="C204" s="12" t="s">
        <v>2</v>
      </c>
      <c r="D204" s="12" t="s">
        <v>620</v>
      </c>
      <c r="E204" s="12" t="s">
        <v>2</v>
      </c>
      <c r="F204" s="12" t="s">
        <v>621</v>
      </c>
    </row>
    <row x14ac:dyDescent="0.25" r="205" customHeight="1" ht="18.75" hidden="1">
      <c r="A205" s="12" t="s">
        <v>622</v>
      </c>
      <c r="B205" s="9">
        <v>45820</v>
      </c>
      <c r="C205" s="12" t="s">
        <v>2</v>
      </c>
      <c r="D205" s="12" t="s">
        <v>623</v>
      </c>
      <c r="E205" s="12" t="s">
        <v>2</v>
      </c>
      <c r="F205" s="12" t="s">
        <v>624</v>
      </c>
    </row>
    <row x14ac:dyDescent="0.25" r="206" customHeight="1" ht="18.75">
      <c r="A206" s="12" t="s">
        <v>625</v>
      </c>
      <c r="B206" s="9">
        <v>45820</v>
      </c>
      <c r="C206" s="12" t="s">
        <v>101</v>
      </c>
      <c r="D206" s="12" t="s">
        <v>626</v>
      </c>
      <c r="E206" s="12" t="s">
        <v>13</v>
      </c>
      <c r="F206" s="12" t="s">
        <v>627</v>
      </c>
    </row>
    <row x14ac:dyDescent="0.25" r="207" customHeight="1" ht="18.75" hidden="1">
      <c r="A207" s="12" t="s">
        <v>628</v>
      </c>
      <c r="B207" s="9">
        <v>45820</v>
      </c>
      <c r="C207" s="12" t="s">
        <v>2</v>
      </c>
      <c r="D207" s="12" t="s">
        <v>629</v>
      </c>
      <c r="E207" s="12" t="s">
        <v>2</v>
      </c>
      <c r="F207" s="12" t="s">
        <v>630</v>
      </c>
    </row>
    <row x14ac:dyDescent="0.25" r="208" customHeight="1" ht="18.75">
      <c r="A208" s="12" t="s">
        <v>631</v>
      </c>
      <c r="B208" s="9">
        <v>45820</v>
      </c>
      <c r="C208" s="12" t="s">
        <v>101</v>
      </c>
      <c r="D208" s="12" t="s">
        <v>632</v>
      </c>
      <c r="E208" s="12" t="s">
        <v>4</v>
      </c>
      <c r="F208" s="12" t="s">
        <v>633</v>
      </c>
    </row>
    <row x14ac:dyDescent="0.25" r="209" customHeight="1" ht="18.75" hidden="1">
      <c r="A209" s="12" t="s">
        <v>634</v>
      </c>
      <c r="B209" s="9">
        <v>45820</v>
      </c>
      <c r="C209" s="12" t="s">
        <v>3</v>
      </c>
      <c r="D209" s="12" t="s">
        <v>635</v>
      </c>
      <c r="E209" s="12" t="s">
        <v>3</v>
      </c>
      <c r="F209" s="12" t="s">
        <v>636</v>
      </c>
    </row>
    <row x14ac:dyDescent="0.25" r="210" customHeight="1" ht="18.75" hidden="1">
      <c r="A210" s="12" t="s">
        <v>637</v>
      </c>
      <c r="B210" s="9">
        <v>45820</v>
      </c>
      <c r="C210" s="12" t="s">
        <v>2</v>
      </c>
      <c r="D210" s="12" t="s">
        <v>638</v>
      </c>
      <c r="E210" s="12" t="s">
        <v>2</v>
      </c>
      <c r="F210" s="12" t="s">
        <v>639</v>
      </c>
    </row>
    <row x14ac:dyDescent="0.25" r="211" customHeight="1" ht="18.75" hidden="1">
      <c r="A211" s="12" t="s">
        <v>640</v>
      </c>
      <c r="B211" s="9">
        <v>45820</v>
      </c>
      <c r="C211" s="12" t="s">
        <v>3</v>
      </c>
      <c r="D211" s="12" t="s">
        <v>641</v>
      </c>
      <c r="E211" s="12" t="s">
        <v>3</v>
      </c>
      <c r="F211" s="12" t="s">
        <v>642</v>
      </c>
    </row>
    <row x14ac:dyDescent="0.25" r="212" customHeight="1" ht="18.75" hidden="1">
      <c r="A212" s="12" t="s">
        <v>643</v>
      </c>
      <c r="B212" s="9">
        <v>45820</v>
      </c>
      <c r="C212" s="12" t="s">
        <v>3</v>
      </c>
      <c r="D212" s="12" t="s">
        <v>644</v>
      </c>
      <c r="E212" s="12" t="s">
        <v>3</v>
      </c>
      <c r="F212" s="12" t="s">
        <v>645</v>
      </c>
    </row>
    <row x14ac:dyDescent="0.25" r="213" customHeight="1" ht="18.75">
      <c r="A213" s="12" t="s">
        <v>646</v>
      </c>
      <c r="B213" s="9">
        <v>45820</v>
      </c>
      <c r="C213" s="12" t="s">
        <v>13</v>
      </c>
      <c r="D213" s="12" t="s">
        <v>647</v>
      </c>
      <c r="E213" s="12" t="s">
        <v>13</v>
      </c>
      <c r="F213" s="12" t="s">
        <v>648</v>
      </c>
    </row>
    <row x14ac:dyDescent="0.25" r="214" customHeight="1" ht="18.75" hidden="1">
      <c r="A214" s="12" t="s">
        <v>649</v>
      </c>
      <c r="B214" s="9">
        <v>45820</v>
      </c>
      <c r="C214" s="12" t="s">
        <v>2</v>
      </c>
      <c r="D214" s="12" t="s">
        <v>650</v>
      </c>
      <c r="E214" s="12" t="s">
        <v>2</v>
      </c>
      <c r="F214" s="12" t="s">
        <v>651</v>
      </c>
    </row>
    <row x14ac:dyDescent="0.25" r="215" customHeight="1" ht="18.75">
      <c r="A215" s="12" t="s">
        <v>652</v>
      </c>
      <c r="B215" s="9">
        <v>45820</v>
      </c>
      <c r="C215" s="12" t="s">
        <v>101</v>
      </c>
      <c r="D215" s="12" t="s">
        <v>653</v>
      </c>
      <c r="E215" s="12" t="s">
        <v>13</v>
      </c>
      <c r="F215" s="12" t="s">
        <v>654</v>
      </c>
    </row>
    <row x14ac:dyDescent="0.25" r="216" customHeight="1" ht="18.75" hidden="1">
      <c r="A216" s="12" t="s">
        <v>655</v>
      </c>
      <c r="B216" s="9">
        <v>45820</v>
      </c>
      <c r="C216" s="12" t="s">
        <v>2</v>
      </c>
      <c r="D216" s="12" t="s">
        <v>656</v>
      </c>
      <c r="E216" s="12" t="s">
        <v>2</v>
      </c>
      <c r="F216" s="12" t="s">
        <v>657</v>
      </c>
    </row>
    <row x14ac:dyDescent="0.25" r="217" customHeight="1" ht="18.75">
      <c r="A217" s="12" t="s">
        <v>658</v>
      </c>
      <c r="B217" s="9">
        <v>45820</v>
      </c>
      <c r="C217" s="12" t="s">
        <v>101</v>
      </c>
      <c r="D217" s="12" t="s">
        <v>659</v>
      </c>
      <c r="E217" s="12" t="s">
        <v>4</v>
      </c>
      <c r="F217" s="12" t="s">
        <v>660</v>
      </c>
    </row>
    <row x14ac:dyDescent="0.25" r="218" customHeight="1" ht="18.75" hidden="1">
      <c r="A218" s="12" t="s">
        <v>661</v>
      </c>
      <c r="B218" s="9">
        <v>45820</v>
      </c>
      <c r="C218" s="12" t="s">
        <v>2</v>
      </c>
      <c r="D218" s="12" t="s">
        <v>662</v>
      </c>
      <c r="E218" s="12" t="s">
        <v>3</v>
      </c>
      <c r="F218" s="12" t="s">
        <v>663</v>
      </c>
    </row>
    <row x14ac:dyDescent="0.25" r="219" customHeight="1" ht="18.75" hidden="1">
      <c r="A219" s="12" t="s">
        <v>664</v>
      </c>
      <c r="B219" s="9">
        <v>45820</v>
      </c>
      <c r="C219" s="12" t="s">
        <v>2</v>
      </c>
      <c r="D219" s="12" t="s">
        <v>665</v>
      </c>
      <c r="E219" s="12" t="s">
        <v>2</v>
      </c>
      <c r="F219" s="12" t="s">
        <v>666</v>
      </c>
    </row>
    <row x14ac:dyDescent="0.25" r="220" customHeight="1" ht="18.75" hidden="1">
      <c r="A220" s="12" t="s">
        <v>667</v>
      </c>
      <c r="B220" s="9">
        <v>45819</v>
      </c>
      <c r="C220" s="12" t="s">
        <v>3</v>
      </c>
      <c r="D220" s="12" t="s">
        <v>668</v>
      </c>
      <c r="E220" s="12" t="s">
        <v>3</v>
      </c>
      <c r="F220" s="12" t="s">
        <v>669</v>
      </c>
    </row>
    <row x14ac:dyDescent="0.25" r="221" customHeight="1" ht="18.75">
      <c r="A221" s="12" t="s">
        <v>670</v>
      </c>
      <c r="B221" s="9">
        <v>45819</v>
      </c>
      <c r="C221" s="12" t="s">
        <v>101</v>
      </c>
      <c r="D221" s="12" t="s">
        <v>671</v>
      </c>
      <c r="E221" s="12" t="s">
        <v>4</v>
      </c>
      <c r="F221" s="12" t="s">
        <v>672</v>
      </c>
    </row>
    <row x14ac:dyDescent="0.25" r="222" customHeight="1" ht="18.75" hidden="1">
      <c r="A222" s="12" t="s">
        <v>673</v>
      </c>
      <c r="B222" s="9">
        <v>45819</v>
      </c>
      <c r="C222" s="12" t="s">
        <v>3</v>
      </c>
      <c r="D222" s="12" t="s">
        <v>674</v>
      </c>
      <c r="E222" s="12" t="s">
        <v>3</v>
      </c>
      <c r="F222" s="12" t="s">
        <v>675</v>
      </c>
    </row>
    <row x14ac:dyDescent="0.25" r="223" customHeight="1" ht="18.75" hidden="1">
      <c r="A223" s="12" t="s">
        <v>676</v>
      </c>
      <c r="B223" s="9">
        <v>45819</v>
      </c>
      <c r="C223" s="12" t="s">
        <v>2</v>
      </c>
      <c r="D223" s="12" t="s">
        <v>677</v>
      </c>
      <c r="E223" s="12" t="s">
        <v>2</v>
      </c>
      <c r="F223" s="12" t="s">
        <v>678</v>
      </c>
    </row>
    <row x14ac:dyDescent="0.25" r="224" customHeight="1" ht="18.75" hidden="1">
      <c r="A224" s="12" t="s">
        <v>679</v>
      </c>
      <c r="B224" s="9">
        <v>45819</v>
      </c>
      <c r="C224" s="12" t="s">
        <v>2</v>
      </c>
      <c r="D224" s="12" t="s">
        <v>680</v>
      </c>
      <c r="E224" s="12" t="s">
        <v>2</v>
      </c>
      <c r="F224" s="12" t="s">
        <v>681</v>
      </c>
    </row>
    <row x14ac:dyDescent="0.25" r="225" customHeight="1" ht="18.75">
      <c r="A225" s="12" t="s">
        <v>682</v>
      </c>
      <c r="B225" s="9">
        <v>45819</v>
      </c>
      <c r="C225" s="12" t="s">
        <v>13</v>
      </c>
      <c r="D225" s="12" t="s">
        <v>683</v>
      </c>
      <c r="E225" s="12" t="s">
        <v>13</v>
      </c>
      <c r="F225" s="12" t="s">
        <v>684</v>
      </c>
    </row>
    <row x14ac:dyDescent="0.25" r="226" customHeight="1" ht="18.75">
      <c r="A226" s="12" t="s">
        <v>685</v>
      </c>
      <c r="B226" s="9">
        <v>45819</v>
      </c>
      <c r="C226" s="12" t="s">
        <v>101</v>
      </c>
      <c r="D226" s="12" t="s">
        <v>686</v>
      </c>
      <c r="E226" s="12" t="s">
        <v>13</v>
      </c>
      <c r="F226" s="12" t="s">
        <v>687</v>
      </c>
    </row>
    <row x14ac:dyDescent="0.25" r="227" customHeight="1" ht="18.75" hidden="1">
      <c r="A227" s="12" t="s">
        <v>688</v>
      </c>
      <c r="B227" s="9">
        <v>45819</v>
      </c>
      <c r="C227" s="12" t="s">
        <v>3</v>
      </c>
      <c r="D227" s="12" t="s">
        <v>689</v>
      </c>
      <c r="E227" s="12" t="s">
        <v>3</v>
      </c>
      <c r="F227" s="12" t="s">
        <v>690</v>
      </c>
    </row>
    <row x14ac:dyDescent="0.25" r="228" customHeight="1" ht="18.75" hidden="1">
      <c r="A228" s="12" t="s">
        <v>691</v>
      </c>
      <c r="B228" s="9">
        <v>45819</v>
      </c>
      <c r="C228" s="12" t="s">
        <v>2</v>
      </c>
      <c r="D228" s="12" t="s">
        <v>692</v>
      </c>
      <c r="E228" s="12" t="s">
        <v>2</v>
      </c>
      <c r="F228" s="12" t="s">
        <v>693</v>
      </c>
    </row>
    <row x14ac:dyDescent="0.25" r="229" customHeight="1" ht="18.75" hidden="1">
      <c r="A229" s="12" t="s">
        <v>694</v>
      </c>
      <c r="B229" s="9">
        <v>45819</v>
      </c>
      <c r="C229" s="12" t="s">
        <v>2</v>
      </c>
      <c r="D229" s="12" t="s">
        <v>695</v>
      </c>
      <c r="E229" s="12" t="s">
        <v>2</v>
      </c>
      <c r="F229" s="12" t="s">
        <v>696</v>
      </c>
    </row>
    <row x14ac:dyDescent="0.25" r="230" customHeight="1" ht="18.75" hidden="1">
      <c r="A230" s="12" t="s">
        <v>697</v>
      </c>
      <c r="B230" s="9">
        <v>45819</v>
      </c>
      <c r="C230" s="12" t="s">
        <v>3</v>
      </c>
      <c r="D230" s="12" t="s">
        <v>698</v>
      </c>
      <c r="E230" s="12" t="s">
        <v>3</v>
      </c>
      <c r="F230" s="12" t="s">
        <v>699</v>
      </c>
    </row>
    <row x14ac:dyDescent="0.25" r="231" customHeight="1" ht="18.75" hidden="1">
      <c r="A231" s="12" t="s">
        <v>700</v>
      </c>
      <c r="B231" s="9">
        <v>45819</v>
      </c>
      <c r="C231" s="12" t="s">
        <v>3</v>
      </c>
      <c r="D231" s="12" t="s">
        <v>701</v>
      </c>
      <c r="E231" s="12" t="s">
        <v>2</v>
      </c>
      <c r="F231" s="12" t="s">
        <v>702</v>
      </c>
    </row>
    <row x14ac:dyDescent="0.25" r="232" customHeight="1" ht="18.75" hidden="1">
      <c r="A232" s="12" t="s">
        <v>703</v>
      </c>
      <c r="B232" s="9">
        <v>45819</v>
      </c>
      <c r="C232" s="12" t="s">
        <v>3</v>
      </c>
      <c r="D232" s="12" t="s">
        <v>704</v>
      </c>
      <c r="E232" s="12" t="s">
        <v>3</v>
      </c>
      <c r="F232" s="12" t="s">
        <v>705</v>
      </c>
    </row>
    <row x14ac:dyDescent="0.25" r="233" customHeight="1" ht="18.75">
      <c r="A233" s="12" t="s">
        <v>706</v>
      </c>
      <c r="B233" s="9">
        <v>45819</v>
      </c>
      <c r="C233" s="12" t="s">
        <v>101</v>
      </c>
      <c r="D233" s="12" t="s">
        <v>707</v>
      </c>
      <c r="E233" s="12" t="s">
        <v>13</v>
      </c>
      <c r="F233" s="12" t="s">
        <v>708</v>
      </c>
    </row>
    <row x14ac:dyDescent="0.25" r="234" customHeight="1" ht="18.75" hidden="1">
      <c r="A234" s="12" t="s">
        <v>709</v>
      </c>
      <c r="B234" s="9">
        <v>45819</v>
      </c>
      <c r="C234" s="12" t="s">
        <v>13</v>
      </c>
      <c r="D234" s="12" t="s">
        <v>710</v>
      </c>
      <c r="E234" s="12" t="s">
        <v>3</v>
      </c>
      <c r="F234" s="12" t="s">
        <v>711</v>
      </c>
    </row>
    <row x14ac:dyDescent="0.25" r="235" customHeight="1" ht="18.75">
      <c r="A235" s="12" t="s">
        <v>712</v>
      </c>
      <c r="B235" s="9">
        <v>45819</v>
      </c>
      <c r="C235" s="12" t="s">
        <v>101</v>
      </c>
      <c r="D235" s="12" t="s">
        <v>713</v>
      </c>
      <c r="E235" s="12" t="s">
        <v>4</v>
      </c>
      <c r="F235" s="12" t="s">
        <v>714</v>
      </c>
    </row>
    <row x14ac:dyDescent="0.25" r="236" customHeight="1" ht="18.75" hidden="1">
      <c r="A236" s="12" t="s">
        <v>715</v>
      </c>
      <c r="B236" s="9">
        <v>45819</v>
      </c>
      <c r="C236" s="12" t="s">
        <v>3</v>
      </c>
      <c r="D236" s="12" t="s">
        <v>716</v>
      </c>
      <c r="E236" s="12" t="s">
        <v>3</v>
      </c>
      <c r="F236" s="12" t="s">
        <v>717</v>
      </c>
    </row>
    <row x14ac:dyDescent="0.25" r="237" customHeight="1" ht="18.75" hidden="1">
      <c r="A237" s="12" t="s">
        <v>718</v>
      </c>
      <c r="B237" s="9">
        <v>45819</v>
      </c>
      <c r="C237" s="12" t="s">
        <v>2</v>
      </c>
      <c r="D237" s="12" t="s">
        <v>719</v>
      </c>
      <c r="E237" s="12" t="s">
        <v>2</v>
      </c>
      <c r="F237" s="12" t="s">
        <v>720</v>
      </c>
    </row>
    <row x14ac:dyDescent="0.25" r="238" customHeight="1" ht="18.75">
      <c r="A238" s="12" t="s">
        <v>721</v>
      </c>
      <c r="B238" s="9">
        <v>45819</v>
      </c>
      <c r="C238" s="12" t="s">
        <v>13</v>
      </c>
      <c r="D238" s="12" t="s">
        <v>722</v>
      </c>
      <c r="E238" s="12" t="s">
        <v>13</v>
      </c>
      <c r="F238" s="12" t="s">
        <v>723</v>
      </c>
    </row>
    <row x14ac:dyDescent="0.25" r="239" customHeight="1" ht="18.75" hidden="1">
      <c r="A239" s="12" t="s">
        <v>724</v>
      </c>
      <c r="B239" s="9">
        <v>45819</v>
      </c>
      <c r="C239" s="12" t="s">
        <v>2</v>
      </c>
      <c r="D239" s="12" t="s">
        <v>725</v>
      </c>
      <c r="E239" s="12" t="s">
        <v>2</v>
      </c>
      <c r="F239" s="12" t="s">
        <v>726</v>
      </c>
    </row>
    <row x14ac:dyDescent="0.25" r="240" customHeight="1" ht="18.75" hidden="1">
      <c r="A240" s="12" t="s">
        <v>727</v>
      </c>
      <c r="B240" s="9">
        <v>45819</v>
      </c>
      <c r="C240" s="12" t="s">
        <v>3</v>
      </c>
      <c r="D240" s="12" t="s">
        <v>728</v>
      </c>
      <c r="E240" s="12" t="s">
        <v>3</v>
      </c>
      <c r="F240" s="12" t="s">
        <v>729</v>
      </c>
    </row>
    <row x14ac:dyDescent="0.25" r="241" customHeight="1" ht="18.75" hidden="1">
      <c r="A241" s="12" t="s">
        <v>730</v>
      </c>
      <c r="B241" s="9">
        <v>45819</v>
      </c>
      <c r="C241" s="12" t="s">
        <v>3</v>
      </c>
      <c r="D241" s="12" t="s">
        <v>731</v>
      </c>
      <c r="E241" s="12" t="s">
        <v>3</v>
      </c>
      <c r="F241" s="12" t="s">
        <v>732</v>
      </c>
    </row>
    <row x14ac:dyDescent="0.25" r="242" customHeight="1" ht="18.75" hidden="1">
      <c r="A242" s="12" t="s">
        <v>733</v>
      </c>
      <c r="B242" s="9">
        <v>45819</v>
      </c>
      <c r="C242" s="12" t="s">
        <v>3</v>
      </c>
      <c r="D242" s="12" t="s">
        <v>734</v>
      </c>
      <c r="E242" s="12" t="s">
        <v>3</v>
      </c>
      <c r="F242" s="12" t="s">
        <v>735</v>
      </c>
    </row>
    <row x14ac:dyDescent="0.25" r="243" customHeight="1" ht="18.75" hidden="1">
      <c r="A243" s="12" t="s">
        <v>736</v>
      </c>
      <c r="B243" s="9">
        <v>45819</v>
      </c>
      <c r="C243" s="12" t="s">
        <v>3</v>
      </c>
      <c r="D243" s="12" t="s">
        <v>737</v>
      </c>
      <c r="E243" s="12" t="s">
        <v>2</v>
      </c>
      <c r="F243" s="12" t="s">
        <v>738</v>
      </c>
    </row>
    <row x14ac:dyDescent="0.25" r="244" customHeight="1" ht="18.75" hidden="1">
      <c r="A244" s="12" t="s">
        <v>739</v>
      </c>
      <c r="B244" s="9">
        <v>45819</v>
      </c>
      <c r="C244" s="12" t="s">
        <v>101</v>
      </c>
      <c r="D244" s="12" t="s">
        <v>740</v>
      </c>
      <c r="E244" s="12" t="s">
        <v>2</v>
      </c>
      <c r="F244" s="12" t="s">
        <v>741</v>
      </c>
    </row>
    <row x14ac:dyDescent="0.25" r="245" customHeight="1" ht="18.75" hidden="1">
      <c r="A245" s="12" t="s">
        <v>742</v>
      </c>
      <c r="B245" s="9">
        <v>45819</v>
      </c>
      <c r="C245" s="12" t="s">
        <v>2</v>
      </c>
      <c r="D245" s="12" t="s">
        <v>743</v>
      </c>
      <c r="E245" s="12" t="s">
        <v>2</v>
      </c>
      <c r="F245" s="12" t="s">
        <v>744</v>
      </c>
    </row>
    <row x14ac:dyDescent="0.25" r="246" customHeight="1" ht="18.75" hidden="1">
      <c r="A246" s="12" t="s">
        <v>745</v>
      </c>
      <c r="B246" s="9">
        <v>45819</v>
      </c>
      <c r="C246" s="12" t="s">
        <v>2</v>
      </c>
      <c r="D246" s="12" t="s">
        <v>746</v>
      </c>
      <c r="E246" s="12" t="s">
        <v>2</v>
      </c>
      <c r="F246" s="12" t="s">
        <v>747</v>
      </c>
    </row>
    <row x14ac:dyDescent="0.25" r="247" customHeight="1" ht="18.75">
      <c r="A247" s="12" t="s">
        <v>748</v>
      </c>
      <c r="B247" s="9">
        <v>45819</v>
      </c>
      <c r="C247" s="12" t="s">
        <v>101</v>
      </c>
      <c r="D247" s="12" t="s">
        <v>749</v>
      </c>
      <c r="E247" s="12" t="s">
        <v>13</v>
      </c>
      <c r="F247" s="12" t="s">
        <v>750</v>
      </c>
    </row>
    <row x14ac:dyDescent="0.25" r="248" customHeight="1" ht="18.75" hidden="1">
      <c r="A248" s="12" t="s">
        <v>751</v>
      </c>
      <c r="B248" s="9">
        <v>45819</v>
      </c>
      <c r="C248" s="12" t="s">
        <v>2</v>
      </c>
      <c r="D248" s="12" t="s">
        <v>752</v>
      </c>
      <c r="E248" s="12" t="s">
        <v>2</v>
      </c>
      <c r="F248" s="12" t="s">
        <v>753</v>
      </c>
    </row>
    <row x14ac:dyDescent="0.25" r="249" customHeight="1" ht="18.75" hidden="1">
      <c r="A249" s="12" t="s">
        <v>754</v>
      </c>
      <c r="B249" s="9">
        <v>45819</v>
      </c>
      <c r="C249" s="12" t="s">
        <v>2</v>
      </c>
      <c r="D249" s="12" t="s">
        <v>755</v>
      </c>
      <c r="E249" s="12" t="s">
        <v>2</v>
      </c>
      <c r="F249" s="12" t="s">
        <v>756</v>
      </c>
    </row>
    <row x14ac:dyDescent="0.25" r="250" customHeight="1" ht="18.75" hidden="1">
      <c r="A250" s="12" t="s">
        <v>757</v>
      </c>
      <c r="B250" s="9">
        <v>45819</v>
      </c>
      <c r="C250" s="12" t="s">
        <v>2</v>
      </c>
      <c r="D250" s="12" t="s">
        <v>758</v>
      </c>
      <c r="E250" s="12" t="s">
        <v>2</v>
      </c>
      <c r="F250" s="12" t="s">
        <v>759</v>
      </c>
    </row>
    <row x14ac:dyDescent="0.25" r="251" customHeight="1" ht="18.75" hidden="1">
      <c r="A251" s="12" t="s">
        <v>760</v>
      </c>
      <c r="B251" s="9">
        <v>45818</v>
      </c>
      <c r="C251" s="12" t="s">
        <v>3</v>
      </c>
      <c r="D251" s="12" t="s">
        <v>761</v>
      </c>
      <c r="E251" s="12" t="s">
        <v>3</v>
      </c>
      <c r="F251" s="12" t="s">
        <v>762</v>
      </c>
    </row>
    <row x14ac:dyDescent="0.25" r="252" customHeight="1" ht="18.75" hidden="1">
      <c r="A252" s="12" t="s">
        <v>763</v>
      </c>
      <c r="B252" s="9">
        <v>45818</v>
      </c>
      <c r="C252" s="12" t="s">
        <v>3</v>
      </c>
      <c r="D252" s="12" t="s">
        <v>764</v>
      </c>
      <c r="E252" s="12" t="s">
        <v>3</v>
      </c>
      <c r="F252" s="12" t="s">
        <v>765</v>
      </c>
    </row>
    <row x14ac:dyDescent="0.25" r="253" customHeight="1" ht="18.75" hidden="1">
      <c r="A253" s="12" t="s">
        <v>766</v>
      </c>
      <c r="B253" s="9">
        <v>45818</v>
      </c>
      <c r="C253" s="12" t="s">
        <v>3</v>
      </c>
      <c r="D253" s="12" t="s">
        <v>767</v>
      </c>
      <c r="E253" s="12" t="s">
        <v>3</v>
      </c>
      <c r="F253" s="12" t="s">
        <v>768</v>
      </c>
    </row>
    <row x14ac:dyDescent="0.25" r="254" customHeight="1" ht="18.75" hidden="1">
      <c r="A254" s="12" t="s">
        <v>769</v>
      </c>
      <c r="B254" s="9">
        <v>45818</v>
      </c>
      <c r="C254" s="12" t="s">
        <v>2</v>
      </c>
      <c r="D254" s="12" t="s">
        <v>770</v>
      </c>
      <c r="E254" s="12" t="s">
        <v>2</v>
      </c>
      <c r="F254" s="12" t="s">
        <v>771</v>
      </c>
    </row>
    <row x14ac:dyDescent="0.25" r="255" customHeight="1" ht="18.75" hidden="1">
      <c r="A255" s="12" t="s">
        <v>772</v>
      </c>
      <c r="B255" s="9">
        <v>45818</v>
      </c>
      <c r="C255" s="12" t="s">
        <v>2</v>
      </c>
      <c r="D255" s="12" t="s">
        <v>773</v>
      </c>
      <c r="E255" s="12" t="s">
        <v>3</v>
      </c>
      <c r="F255" s="12" t="s">
        <v>774</v>
      </c>
    </row>
    <row x14ac:dyDescent="0.25" r="256" customHeight="1" ht="18.75" hidden="1">
      <c r="A256" s="12" t="s">
        <v>775</v>
      </c>
      <c r="B256" s="9">
        <v>45818</v>
      </c>
      <c r="C256" s="12" t="s">
        <v>3</v>
      </c>
      <c r="D256" s="12" t="s">
        <v>776</v>
      </c>
      <c r="E256" s="12" t="s">
        <v>3</v>
      </c>
      <c r="F256" s="12" t="s">
        <v>777</v>
      </c>
    </row>
    <row x14ac:dyDescent="0.25" r="257" customHeight="1" ht="18.75" hidden="1">
      <c r="A257" s="12" t="s">
        <v>778</v>
      </c>
      <c r="B257" s="9">
        <v>45818</v>
      </c>
      <c r="C257" s="12" t="s">
        <v>3</v>
      </c>
      <c r="D257" s="12" t="s">
        <v>779</v>
      </c>
      <c r="E257" s="12" t="s">
        <v>3</v>
      </c>
      <c r="F257" s="12" t="s">
        <v>780</v>
      </c>
    </row>
    <row x14ac:dyDescent="0.25" r="258" customHeight="1" ht="18.75" hidden="1">
      <c r="A258" s="12" t="s">
        <v>781</v>
      </c>
      <c r="B258" s="9">
        <v>45818</v>
      </c>
      <c r="C258" s="12" t="s">
        <v>3</v>
      </c>
      <c r="D258" s="12" t="s">
        <v>782</v>
      </c>
      <c r="E258" s="12" t="s">
        <v>3</v>
      </c>
      <c r="F258" s="12" t="s">
        <v>783</v>
      </c>
    </row>
    <row x14ac:dyDescent="0.25" r="259" customHeight="1" ht="18.75" hidden="1">
      <c r="A259" s="12" t="s">
        <v>784</v>
      </c>
      <c r="B259" s="9">
        <v>45818</v>
      </c>
      <c r="C259" s="12" t="s">
        <v>2</v>
      </c>
      <c r="D259" s="12" t="s">
        <v>785</v>
      </c>
      <c r="E259" s="12" t="s">
        <v>2</v>
      </c>
      <c r="F259" s="12" t="s">
        <v>786</v>
      </c>
    </row>
    <row x14ac:dyDescent="0.25" r="260" customHeight="1" ht="18.75" hidden="1">
      <c r="A260" s="12" t="s">
        <v>787</v>
      </c>
      <c r="B260" s="9">
        <v>45818</v>
      </c>
      <c r="C260" s="12" t="s">
        <v>2</v>
      </c>
      <c r="D260" s="12" t="s">
        <v>788</v>
      </c>
      <c r="E260" s="12" t="s">
        <v>2</v>
      </c>
      <c r="F260" s="12" t="s">
        <v>789</v>
      </c>
    </row>
    <row x14ac:dyDescent="0.25" r="261" customHeight="1" ht="18.75" hidden="1">
      <c r="A261" s="12" t="s">
        <v>790</v>
      </c>
      <c r="B261" s="9">
        <v>45818</v>
      </c>
      <c r="C261" s="12" t="s">
        <v>2</v>
      </c>
      <c r="D261" s="12" t="s">
        <v>791</v>
      </c>
      <c r="E261" s="12" t="s">
        <v>2</v>
      </c>
      <c r="F261" s="12" t="s">
        <v>792</v>
      </c>
    </row>
    <row x14ac:dyDescent="0.25" r="262" customHeight="1" ht="18.75" hidden="1">
      <c r="A262" s="12" t="s">
        <v>793</v>
      </c>
      <c r="B262" s="9">
        <v>45818</v>
      </c>
      <c r="C262" s="12" t="s">
        <v>2</v>
      </c>
      <c r="D262" s="12" t="s">
        <v>794</v>
      </c>
      <c r="E262" s="12" t="s">
        <v>2</v>
      </c>
      <c r="F262" s="12" t="s">
        <v>795</v>
      </c>
    </row>
    <row x14ac:dyDescent="0.25" r="263" customHeight="1" ht="18.75" hidden="1">
      <c r="A263" s="12" t="s">
        <v>796</v>
      </c>
      <c r="B263" s="9">
        <v>45818</v>
      </c>
      <c r="C263" s="12" t="s">
        <v>2</v>
      </c>
      <c r="D263" s="12" t="s">
        <v>797</v>
      </c>
      <c r="E263" s="12" t="s">
        <v>2</v>
      </c>
      <c r="F263" s="12" t="s">
        <v>798</v>
      </c>
    </row>
    <row x14ac:dyDescent="0.25" r="264" customHeight="1" ht="18.75" hidden="1">
      <c r="A264" s="12" t="s">
        <v>799</v>
      </c>
      <c r="B264" s="9">
        <v>45818</v>
      </c>
      <c r="C264" s="12" t="s">
        <v>2</v>
      </c>
      <c r="D264" s="12" t="s">
        <v>800</v>
      </c>
      <c r="E264" s="12" t="s">
        <v>2</v>
      </c>
      <c r="F264" s="12" t="s">
        <v>801</v>
      </c>
    </row>
    <row x14ac:dyDescent="0.25" r="265" customHeight="1" ht="18.75" hidden="1">
      <c r="A265" s="12" t="s">
        <v>802</v>
      </c>
      <c r="B265" s="9">
        <v>45818</v>
      </c>
      <c r="C265" s="12" t="s">
        <v>2</v>
      </c>
      <c r="D265" s="12" t="s">
        <v>803</v>
      </c>
      <c r="E265" s="12" t="s">
        <v>2</v>
      </c>
      <c r="F265" s="12" t="s">
        <v>804</v>
      </c>
    </row>
    <row x14ac:dyDescent="0.25" r="266" customHeight="1" ht="18.75">
      <c r="A266" s="12" t="s">
        <v>805</v>
      </c>
      <c r="B266" s="9">
        <v>45818</v>
      </c>
      <c r="C266" s="12" t="s">
        <v>13</v>
      </c>
      <c r="D266" s="12" t="s">
        <v>806</v>
      </c>
      <c r="E266" s="12" t="s">
        <v>13</v>
      </c>
      <c r="F266" s="12" t="s">
        <v>807</v>
      </c>
    </row>
    <row x14ac:dyDescent="0.25" r="267" customHeight="1" ht="18.75" hidden="1">
      <c r="A267" s="12" t="s">
        <v>808</v>
      </c>
      <c r="B267" s="9">
        <v>45818</v>
      </c>
      <c r="C267" s="12" t="s">
        <v>3</v>
      </c>
      <c r="D267" s="12" t="s">
        <v>809</v>
      </c>
      <c r="E267" s="12" t="s">
        <v>3</v>
      </c>
      <c r="F267" s="12" t="s">
        <v>810</v>
      </c>
    </row>
    <row x14ac:dyDescent="0.25" r="268" customHeight="1" ht="18.75">
      <c r="A268" s="12" t="s">
        <v>811</v>
      </c>
      <c r="B268" s="9">
        <v>45818</v>
      </c>
      <c r="C268" s="12" t="s">
        <v>2</v>
      </c>
      <c r="D268" s="12" t="s">
        <v>812</v>
      </c>
      <c r="E268" s="12" t="s">
        <v>13</v>
      </c>
      <c r="F268" s="12" t="s">
        <v>813</v>
      </c>
    </row>
    <row x14ac:dyDescent="0.25" r="269" customHeight="1" ht="18.75" hidden="1">
      <c r="A269" s="12" t="s">
        <v>814</v>
      </c>
      <c r="B269" s="9">
        <v>45818</v>
      </c>
      <c r="C269" s="12" t="s">
        <v>2</v>
      </c>
      <c r="D269" s="12" t="s">
        <v>815</v>
      </c>
      <c r="E269" s="12" t="s">
        <v>2</v>
      </c>
      <c r="F269" s="12" t="s">
        <v>816</v>
      </c>
    </row>
    <row x14ac:dyDescent="0.25" r="270" customHeight="1" ht="18.75" hidden="1">
      <c r="A270" s="12" t="s">
        <v>817</v>
      </c>
      <c r="B270" s="9">
        <v>45818</v>
      </c>
      <c r="C270" s="12" t="s">
        <v>2</v>
      </c>
      <c r="D270" s="12" t="s">
        <v>818</v>
      </c>
      <c r="E270" s="12" t="s">
        <v>2</v>
      </c>
      <c r="F270" s="12" t="s">
        <v>819</v>
      </c>
    </row>
    <row x14ac:dyDescent="0.25" r="271" customHeight="1" ht="18.75" hidden="1">
      <c r="A271" s="12" t="s">
        <v>820</v>
      </c>
      <c r="B271" s="9">
        <v>45818</v>
      </c>
      <c r="C271" s="12" t="s">
        <v>2</v>
      </c>
      <c r="D271" s="12" t="s">
        <v>821</v>
      </c>
      <c r="E271" s="12" t="s">
        <v>2</v>
      </c>
      <c r="F271" s="12" t="s">
        <v>822</v>
      </c>
    </row>
    <row x14ac:dyDescent="0.25" r="272" customHeight="1" ht="18.75">
      <c r="A272" s="12" t="s">
        <v>823</v>
      </c>
      <c r="B272" s="9">
        <v>45818</v>
      </c>
      <c r="C272" s="12" t="s">
        <v>101</v>
      </c>
      <c r="D272" s="12" t="s">
        <v>824</v>
      </c>
      <c r="E272" s="12" t="s">
        <v>13</v>
      </c>
      <c r="F272" s="12" t="s">
        <v>825</v>
      </c>
    </row>
    <row x14ac:dyDescent="0.25" r="273" customHeight="1" ht="18.75" hidden="1">
      <c r="A273" s="12" t="s">
        <v>826</v>
      </c>
      <c r="B273" s="9">
        <v>45818</v>
      </c>
      <c r="C273" s="12" t="s">
        <v>3</v>
      </c>
      <c r="D273" s="12" t="s">
        <v>827</v>
      </c>
      <c r="E273" s="12" t="s">
        <v>3</v>
      </c>
      <c r="F273" s="12" t="s">
        <v>828</v>
      </c>
    </row>
    <row x14ac:dyDescent="0.25" r="274" customHeight="1" ht="18.75" hidden="1">
      <c r="A274" s="12" t="s">
        <v>829</v>
      </c>
      <c r="B274" s="9">
        <v>45818</v>
      </c>
      <c r="C274" s="12" t="s">
        <v>2</v>
      </c>
      <c r="D274" s="12" t="s">
        <v>830</v>
      </c>
      <c r="E274" s="12" t="s">
        <v>2</v>
      </c>
      <c r="F274" s="12" t="s">
        <v>831</v>
      </c>
    </row>
    <row x14ac:dyDescent="0.25" r="275" customHeight="1" ht="18.75" hidden="1">
      <c r="A275" s="12" t="s">
        <v>832</v>
      </c>
      <c r="B275" s="9">
        <v>45818</v>
      </c>
      <c r="C275" s="12" t="s">
        <v>2</v>
      </c>
      <c r="D275" s="12" t="s">
        <v>833</v>
      </c>
      <c r="E275" s="12" t="s">
        <v>3</v>
      </c>
      <c r="F275" s="12" t="s">
        <v>834</v>
      </c>
    </row>
    <row x14ac:dyDescent="0.25" r="276" customHeight="1" ht="18.75">
      <c r="A276" s="12" t="s">
        <v>835</v>
      </c>
      <c r="B276" s="9">
        <v>45818</v>
      </c>
      <c r="C276" s="12" t="s">
        <v>13</v>
      </c>
      <c r="D276" s="12" t="s">
        <v>836</v>
      </c>
      <c r="E276" s="12" t="s">
        <v>13</v>
      </c>
      <c r="F276" s="12" t="s">
        <v>837</v>
      </c>
    </row>
    <row x14ac:dyDescent="0.25" r="277" customHeight="1" ht="18.75" hidden="1">
      <c r="A277" s="12" t="s">
        <v>838</v>
      </c>
      <c r="B277" s="9">
        <v>45818</v>
      </c>
      <c r="C277" s="12" t="s">
        <v>2</v>
      </c>
      <c r="D277" s="12" t="s">
        <v>839</v>
      </c>
      <c r="E277" s="12" t="s">
        <v>2</v>
      </c>
      <c r="F277" s="12" t="s">
        <v>840</v>
      </c>
    </row>
    <row x14ac:dyDescent="0.25" r="278" customHeight="1" ht="18.75" hidden="1">
      <c r="A278" s="12" t="s">
        <v>841</v>
      </c>
      <c r="B278" s="9">
        <v>45818</v>
      </c>
      <c r="C278" s="12" t="s">
        <v>2</v>
      </c>
      <c r="D278" s="12" t="s">
        <v>842</v>
      </c>
      <c r="E278" s="12" t="s">
        <v>3</v>
      </c>
      <c r="F278" s="12" t="s">
        <v>843</v>
      </c>
    </row>
    <row x14ac:dyDescent="0.25" r="279" customHeight="1" ht="18.75" hidden="1">
      <c r="A279" s="12" t="s">
        <v>844</v>
      </c>
      <c r="B279" s="9">
        <v>45818</v>
      </c>
      <c r="C279" s="12" t="s">
        <v>2</v>
      </c>
      <c r="D279" s="12" t="s">
        <v>845</v>
      </c>
      <c r="E279" s="12" t="s">
        <v>2</v>
      </c>
      <c r="F279" s="12" t="s">
        <v>846</v>
      </c>
    </row>
    <row x14ac:dyDescent="0.25" r="280" customHeight="1" ht="18.75">
      <c r="A280" s="12" t="s">
        <v>847</v>
      </c>
      <c r="B280" s="9">
        <v>45818</v>
      </c>
      <c r="C280" s="12" t="s">
        <v>101</v>
      </c>
      <c r="D280" s="12" t="s">
        <v>848</v>
      </c>
      <c r="E280" s="12" t="s">
        <v>13</v>
      </c>
      <c r="F280" s="12" t="s">
        <v>849</v>
      </c>
    </row>
    <row x14ac:dyDescent="0.25" r="281" customHeight="1" ht="18.75" hidden="1">
      <c r="A281" s="12" t="s">
        <v>850</v>
      </c>
      <c r="B281" s="9">
        <v>45818</v>
      </c>
      <c r="C281" s="12" t="s">
        <v>3</v>
      </c>
      <c r="D281" s="12" t="s">
        <v>851</v>
      </c>
      <c r="E281" s="12" t="s">
        <v>3</v>
      </c>
      <c r="F281" s="12" t="s">
        <v>852</v>
      </c>
    </row>
    <row x14ac:dyDescent="0.25" r="282" customHeight="1" ht="18.75" hidden="1">
      <c r="A282" s="12" t="s">
        <v>853</v>
      </c>
      <c r="B282" s="9">
        <v>45818</v>
      </c>
      <c r="C282" s="12" t="s">
        <v>2</v>
      </c>
      <c r="D282" s="12" t="s">
        <v>854</v>
      </c>
      <c r="E282" s="12" t="s">
        <v>2</v>
      </c>
      <c r="F282" s="12" t="s">
        <v>855</v>
      </c>
    </row>
    <row x14ac:dyDescent="0.25" r="283" customHeight="1" ht="18.75">
      <c r="A283" s="12" t="s">
        <v>856</v>
      </c>
      <c r="B283" s="9">
        <v>45818</v>
      </c>
      <c r="C283" s="12" t="s">
        <v>13</v>
      </c>
      <c r="D283" s="12" t="s">
        <v>857</v>
      </c>
      <c r="E283" s="12" t="s">
        <v>13</v>
      </c>
      <c r="F283" s="12" t="s">
        <v>858</v>
      </c>
    </row>
    <row x14ac:dyDescent="0.25" r="284" customHeight="1" ht="18.75" hidden="1">
      <c r="A284" s="12" t="s">
        <v>859</v>
      </c>
      <c r="B284" s="9">
        <v>45818</v>
      </c>
      <c r="C284" s="12" t="s">
        <v>3</v>
      </c>
      <c r="D284" s="12" t="s">
        <v>860</v>
      </c>
      <c r="E284" s="12" t="s">
        <v>3</v>
      </c>
      <c r="F284" s="12" t="s">
        <v>861</v>
      </c>
    </row>
    <row x14ac:dyDescent="0.25" r="285" customHeight="1" ht="18.75" hidden="1">
      <c r="A285" s="12" t="s">
        <v>862</v>
      </c>
      <c r="B285" s="9">
        <v>45817</v>
      </c>
      <c r="C285" s="12" t="s">
        <v>3</v>
      </c>
      <c r="D285" s="12" t="s">
        <v>863</v>
      </c>
      <c r="E285" s="12" t="s">
        <v>3</v>
      </c>
      <c r="F285" s="12" t="s">
        <v>864</v>
      </c>
    </row>
    <row x14ac:dyDescent="0.25" r="286" customHeight="1" ht="18.75" hidden="1">
      <c r="A286" s="12" t="s">
        <v>865</v>
      </c>
      <c r="B286" s="9">
        <v>45817</v>
      </c>
      <c r="C286" s="12" t="s">
        <v>3</v>
      </c>
      <c r="D286" s="12" t="s">
        <v>866</v>
      </c>
      <c r="E286" s="12" t="s">
        <v>3</v>
      </c>
      <c r="F286" s="12" t="s">
        <v>867</v>
      </c>
    </row>
    <row x14ac:dyDescent="0.25" r="287" customHeight="1" ht="18.75" hidden="1">
      <c r="A287" s="12" t="s">
        <v>868</v>
      </c>
      <c r="B287" s="9">
        <v>45817</v>
      </c>
      <c r="C287" s="12" t="s">
        <v>2</v>
      </c>
      <c r="D287" s="12" t="s">
        <v>869</v>
      </c>
      <c r="E287" s="12" t="s">
        <v>2</v>
      </c>
      <c r="F287" s="12" t="s">
        <v>870</v>
      </c>
    </row>
    <row x14ac:dyDescent="0.25" r="288" customHeight="1" ht="18.75" hidden="1">
      <c r="A288" s="12" t="s">
        <v>871</v>
      </c>
      <c r="B288" s="9">
        <v>45817</v>
      </c>
      <c r="C288" s="12" t="s">
        <v>3</v>
      </c>
      <c r="D288" s="12" t="s">
        <v>872</v>
      </c>
      <c r="E288" s="12" t="s">
        <v>3</v>
      </c>
      <c r="F288" s="12" t="s">
        <v>873</v>
      </c>
    </row>
    <row x14ac:dyDescent="0.25" r="289" customHeight="1" ht="18.75" hidden="1">
      <c r="A289" s="12" t="s">
        <v>874</v>
      </c>
      <c r="B289" s="9">
        <v>45817</v>
      </c>
      <c r="C289" s="12" t="s">
        <v>2</v>
      </c>
      <c r="D289" s="12" t="s">
        <v>875</v>
      </c>
      <c r="E289" s="12" t="s">
        <v>2</v>
      </c>
      <c r="F289" s="12" t="s">
        <v>876</v>
      </c>
    </row>
    <row x14ac:dyDescent="0.25" r="290" customHeight="1" ht="18.75">
      <c r="A290" s="12" t="s">
        <v>877</v>
      </c>
      <c r="B290" s="9">
        <v>45817</v>
      </c>
      <c r="C290" s="12" t="s">
        <v>13</v>
      </c>
      <c r="D290" s="12" t="s">
        <v>878</v>
      </c>
      <c r="E290" s="12" t="s">
        <v>13</v>
      </c>
      <c r="F290" s="12" t="s">
        <v>879</v>
      </c>
    </row>
    <row x14ac:dyDescent="0.25" r="291" customHeight="1" ht="18.75" hidden="1">
      <c r="A291" s="12" t="s">
        <v>880</v>
      </c>
      <c r="B291" s="9">
        <v>45817</v>
      </c>
      <c r="C291" s="12" t="s">
        <v>2</v>
      </c>
      <c r="D291" s="12" t="s">
        <v>881</v>
      </c>
      <c r="E291" s="12" t="s">
        <v>2</v>
      </c>
      <c r="F291" s="12" t="s">
        <v>882</v>
      </c>
    </row>
    <row x14ac:dyDescent="0.25" r="292" customHeight="1" ht="18.75" hidden="1">
      <c r="A292" s="12" t="s">
        <v>883</v>
      </c>
      <c r="B292" s="9">
        <v>45817</v>
      </c>
      <c r="C292" s="12" t="s">
        <v>3</v>
      </c>
      <c r="D292" s="12" t="s">
        <v>884</v>
      </c>
      <c r="E292" s="12" t="s">
        <v>3</v>
      </c>
      <c r="F292" s="12" t="s">
        <v>885</v>
      </c>
    </row>
    <row x14ac:dyDescent="0.25" r="293" customHeight="1" ht="18.75" hidden="1">
      <c r="A293" s="12" t="s">
        <v>886</v>
      </c>
      <c r="B293" s="9">
        <v>45817</v>
      </c>
      <c r="C293" s="12" t="s">
        <v>2</v>
      </c>
      <c r="D293" s="12" t="s">
        <v>887</v>
      </c>
      <c r="E293" s="12" t="s">
        <v>2</v>
      </c>
      <c r="F293" s="12" t="s">
        <v>888</v>
      </c>
    </row>
    <row x14ac:dyDescent="0.25" r="294" customHeight="1" ht="18.75">
      <c r="A294" s="12" t="s">
        <v>889</v>
      </c>
      <c r="B294" s="9">
        <v>45817</v>
      </c>
      <c r="C294" s="12" t="s">
        <v>101</v>
      </c>
      <c r="D294" s="12" t="s">
        <v>890</v>
      </c>
      <c r="E294" s="12" t="s">
        <v>13</v>
      </c>
      <c r="F294" s="12" t="s">
        <v>891</v>
      </c>
    </row>
    <row x14ac:dyDescent="0.25" r="295" customHeight="1" ht="18.75" hidden="1">
      <c r="A295" s="12" t="s">
        <v>892</v>
      </c>
      <c r="B295" s="9">
        <v>45817</v>
      </c>
      <c r="C295" s="12" t="s">
        <v>3</v>
      </c>
      <c r="D295" s="12" t="s">
        <v>893</v>
      </c>
      <c r="E295" s="12" t="s">
        <v>3</v>
      </c>
      <c r="F295" s="12" t="s">
        <v>894</v>
      </c>
    </row>
    <row x14ac:dyDescent="0.25" r="296" customHeight="1" ht="18.75">
      <c r="A296" s="12" t="s">
        <v>895</v>
      </c>
      <c r="B296" s="9">
        <v>45817</v>
      </c>
      <c r="C296" s="12" t="s">
        <v>101</v>
      </c>
      <c r="D296" s="12" t="s">
        <v>896</v>
      </c>
      <c r="E296" s="12" t="s">
        <v>4</v>
      </c>
      <c r="F296" s="12" t="s">
        <v>897</v>
      </c>
    </row>
    <row x14ac:dyDescent="0.25" r="297" customHeight="1" ht="18.75" hidden="1">
      <c r="A297" s="12" t="s">
        <v>898</v>
      </c>
      <c r="B297" s="9">
        <v>45817</v>
      </c>
      <c r="C297" s="12" t="s">
        <v>2</v>
      </c>
      <c r="D297" s="12" t="s">
        <v>899</v>
      </c>
      <c r="E297" s="12" t="s">
        <v>2</v>
      </c>
      <c r="F297" s="12" t="s">
        <v>900</v>
      </c>
    </row>
    <row x14ac:dyDescent="0.25" r="298" customHeight="1" ht="18.75">
      <c r="A298" s="12" t="s">
        <v>901</v>
      </c>
      <c r="B298" s="9">
        <v>45817</v>
      </c>
      <c r="C298" s="12" t="s">
        <v>13</v>
      </c>
      <c r="D298" s="12" t="s">
        <v>902</v>
      </c>
      <c r="E298" s="12" t="s">
        <v>13</v>
      </c>
      <c r="F298" s="12" t="s">
        <v>903</v>
      </c>
    </row>
    <row x14ac:dyDescent="0.25" r="299" customHeight="1" ht="18.75" hidden="1">
      <c r="A299" s="12" t="s">
        <v>904</v>
      </c>
      <c r="B299" s="9">
        <v>45817</v>
      </c>
      <c r="C299" s="12" t="s">
        <v>2</v>
      </c>
      <c r="D299" s="12" t="s">
        <v>905</v>
      </c>
      <c r="E299" s="12" t="s">
        <v>3</v>
      </c>
      <c r="F299" s="12" t="s">
        <v>906</v>
      </c>
    </row>
    <row x14ac:dyDescent="0.25" r="300" customHeight="1" ht="18.75" hidden="1">
      <c r="A300" s="12" t="s">
        <v>907</v>
      </c>
      <c r="B300" s="9">
        <v>45817</v>
      </c>
      <c r="C300" s="12" t="s">
        <v>3</v>
      </c>
      <c r="D300" s="12" t="s">
        <v>908</v>
      </c>
      <c r="E300" s="12" t="s">
        <v>3</v>
      </c>
      <c r="F300" s="12" t="s">
        <v>909</v>
      </c>
    </row>
    <row x14ac:dyDescent="0.25" r="301" customHeight="1" ht="18.75">
      <c r="A301" s="12" t="s">
        <v>910</v>
      </c>
      <c r="B301" s="9">
        <v>45817</v>
      </c>
      <c r="C301" s="12" t="s">
        <v>13</v>
      </c>
      <c r="D301" s="12" t="s">
        <v>911</v>
      </c>
      <c r="E301" s="12" t="s">
        <v>13</v>
      </c>
      <c r="F301" s="12" t="s">
        <v>912</v>
      </c>
    </row>
    <row x14ac:dyDescent="0.25" r="302" customHeight="1" ht="18.75">
      <c r="A302" s="12" t="s">
        <v>913</v>
      </c>
      <c r="B302" s="9">
        <v>45817</v>
      </c>
      <c r="C302" s="12" t="s">
        <v>101</v>
      </c>
      <c r="D302" s="12" t="s">
        <v>914</v>
      </c>
      <c r="E302" s="12" t="s">
        <v>13</v>
      </c>
      <c r="F302" s="12" t="s">
        <v>915</v>
      </c>
    </row>
    <row x14ac:dyDescent="0.25" r="303" customHeight="1" ht="18.75" hidden="1">
      <c r="A303" s="12" t="s">
        <v>916</v>
      </c>
      <c r="B303" s="9">
        <v>45817</v>
      </c>
      <c r="C303" s="12" t="s">
        <v>2</v>
      </c>
      <c r="D303" s="12" t="s">
        <v>917</v>
      </c>
      <c r="E303" s="12" t="s">
        <v>2</v>
      </c>
      <c r="F303" s="12" t="s">
        <v>918</v>
      </c>
    </row>
    <row x14ac:dyDescent="0.25" r="304" customHeight="1" ht="18.75">
      <c r="A304" s="12" t="s">
        <v>919</v>
      </c>
      <c r="B304" s="9">
        <v>45817</v>
      </c>
      <c r="C304" s="12" t="s">
        <v>101</v>
      </c>
      <c r="D304" s="12" t="s">
        <v>920</v>
      </c>
      <c r="E304" s="12" t="s">
        <v>13</v>
      </c>
      <c r="F304" s="12" t="s">
        <v>921</v>
      </c>
    </row>
    <row x14ac:dyDescent="0.25" r="305" customHeight="1" ht="18.75" hidden="1">
      <c r="A305" s="12" t="s">
        <v>922</v>
      </c>
      <c r="B305" s="9">
        <v>45817</v>
      </c>
      <c r="C305" s="12" t="s">
        <v>2</v>
      </c>
      <c r="D305" s="12" t="s">
        <v>923</v>
      </c>
      <c r="E305" s="12" t="s">
        <v>2</v>
      </c>
      <c r="F305" s="12" t="s">
        <v>924</v>
      </c>
    </row>
    <row x14ac:dyDescent="0.25" r="306" customHeight="1" ht="18.75">
      <c r="A306" s="12" t="s">
        <v>925</v>
      </c>
      <c r="B306" s="9">
        <v>45817</v>
      </c>
      <c r="C306" s="12" t="s">
        <v>2</v>
      </c>
      <c r="D306" s="12" t="s">
        <v>926</v>
      </c>
      <c r="E306" s="12" t="s">
        <v>13</v>
      </c>
      <c r="F306" s="12" t="s">
        <v>927</v>
      </c>
    </row>
    <row x14ac:dyDescent="0.25" r="307" customHeight="1" ht="18.75">
      <c r="A307" s="12" t="s">
        <v>928</v>
      </c>
      <c r="B307" s="9">
        <v>45817</v>
      </c>
      <c r="C307" s="12" t="s">
        <v>101</v>
      </c>
      <c r="D307" s="12" t="s">
        <v>929</v>
      </c>
      <c r="E307" s="12" t="s">
        <v>13</v>
      </c>
      <c r="F307" s="12" t="s">
        <v>930</v>
      </c>
    </row>
    <row x14ac:dyDescent="0.25" r="308" customHeight="1" ht="18.75" hidden="1">
      <c r="A308" s="12" t="s">
        <v>931</v>
      </c>
      <c r="B308" s="9">
        <v>45816</v>
      </c>
      <c r="C308" s="12" t="s">
        <v>2</v>
      </c>
      <c r="D308" s="12" t="s">
        <v>932</v>
      </c>
      <c r="E308" s="12" t="s">
        <v>2</v>
      </c>
      <c r="F308" s="12" t="s">
        <v>933</v>
      </c>
    </row>
    <row x14ac:dyDescent="0.25" r="309" customHeight="1" ht="18.75">
      <c r="A309" s="12" t="s">
        <v>934</v>
      </c>
      <c r="B309" s="9">
        <v>45815</v>
      </c>
      <c r="C309" s="12" t="s">
        <v>101</v>
      </c>
      <c r="D309" s="12" t="s">
        <v>935</v>
      </c>
      <c r="E309" s="12" t="s">
        <v>13</v>
      </c>
      <c r="F309" s="12" t="s">
        <v>936</v>
      </c>
    </row>
    <row x14ac:dyDescent="0.25" r="310" customHeight="1" ht="18.75" hidden="1">
      <c r="A310" s="12" t="s">
        <v>937</v>
      </c>
      <c r="B310" s="9">
        <v>45814</v>
      </c>
      <c r="C310" s="12" t="s">
        <v>2</v>
      </c>
      <c r="D310" s="12" t="s">
        <v>938</v>
      </c>
      <c r="E310" s="12" t="s">
        <v>2</v>
      </c>
      <c r="F310" s="12" t="s">
        <v>939</v>
      </c>
    </row>
    <row x14ac:dyDescent="0.25" r="311" customHeight="1" ht="18.75" hidden="1">
      <c r="A311" s="12" t="s">
        <v>940</v>
      </c>
      <c r="B311" s="9">
        <v>45814</v>
      </c>
      <c r="C311" s="12" t="s">
        <v>2</v>
      </c>
      <c r="D311" s="12" t="s">
        <v>941</v>
      </c>
      <c r="E311" s="12" t="s">
        <v>2</v>
      </c>
      <c r="F311" s="12" t="s">
        <v>942</v>
      </c>
    </row>
    <row x14ac:dyDescent="0.25" r="312" customHeight="1" ht="18.75" hidden="1">
      <c r="A312" s="12" t="s">
        <v>943</v>
      </c>
      <c r="B312" s="9">
        <v>45814</v>
      </c>
      <c r="C312" s="12" t="s">
        <v>3</v>
      </c>
      <c r="D312" s="12" t="s">
        <v>944</v>
      </c>
      <c r="E312" s="12" t="s">
        <v>2</v>
      </c>
      <c r="F312" s="12" t="s">
        <v>945</v>
      </c>
    </row>
    <row x14ac:dyDescent="0.25" r="313" customHeight="1" ht="18.75" hidden="1">
      <c r="A313" s="12" t="s">
        <v>946</v>
      </c>
      <c r="B313" s="9">
        <v>45814</v>
      </c>
      <c r="C313" s="12" t="s">
        <v>2</v>
      </c>
      <c r="D313" s="12" t="s">
        <v>947</v>
      </c>
      <c r="E313" s="12" t="s">
        <v>2</v>
      </c>
      <c r="F313" s="12" t="s">
        <v>948</v>
      </c>
    </row>
    <row x14ac:dyDescent="0.25" r="314" customHeight="1" ht="18.75" hidden="1">
      <c r="A314" s="12" t="s">
        <v>949</v>
      </c>
      <c r="B314" s="9">
        <v>45814</v>
      </c>
      <c r="C314" s="12" t="s">
        <v>2</v>
      </c>
      <c r="D314" s="12" t="s">
        <v>950</v>
      </c>
      <c r="E314" s="12" t="s">
        <v>2</v>
      </c>
      <c r="F314" s="12" t="s">
        <v>951</v>
      </c>
    </row>
    <row x14ac:dyDescent="0.25" r="315" customHeight="1" ht="18.75" hidden="1">
      <c r="A315" s="12" t="s">
        <v>952</v>
      </c>
      <c r="B315" s="9">
        <v>45814</v>
      </c>
      <c r="C315" s="12" t="s">
        <v>2</v>
      </c>
      <c r="D315" s="12" t="s">
        <v>953</v>
      </c>
      <c r="E315" s="12" t="s">
        <v>2</v>
      </c>
      <c r="F315" s="12" t="s">
        <v>954</v>
      </c>
    </row>
    <row x14ac:dyDescent="0.25" r="316" customHeight="1" ht="18.75" hidden="1">
      <c r="A316" s="12" t="s">
        <v>955</v>
      </c>
      <c r="B316" s="9">
        <v>45814</v>
      </c>
      <c r="C316" s="12" t="s">
        <v>2</v>
      </c>
      <c r="D316" s="12" t="s">
        <v>956</v>
      </c>
      <c r="E316" s="12" t="s">
        <v>2</v>
      </c>
      <c r="F316" s="12" t="s">
        <v>957</v>
      </c>
    </row>
    <row x14ac:dyDescent="0.25" r="317" customHeight="1" ht="18.75" hidden="1">
      <c r="A317" s="12" t="s">
        <v>958</v>
      </c>
      <c r="B317" s="9">
        <v>45814</v>
      </c>
      <c r="C317" s="12" t="s">
        <v>2</v>
      </c>
      <c r="D317" s="12" t="s">
        <v>959</v>
      </c>
      <c r="E317" s="12" t="s">
        <v>2</v>
      </c>
      <c r="F317" s="12" t="s">
        <v>960</v>
      </c>
    </row>
    <row x14ac:dyDescent="0.25" r="318" customHeight="1" ht="18.75" hidden="1">
      <c r="A318" s="12" t="s">
        <v>961</v>
      </c>
      <c r="B318" s="9">
        <v>45814</v>
      </c>
      <c r="C318" s="12" t="s">
        <v>3</v>
      </c>
      <c r="D318" s="12" t="s">
        <v>962</v>
      </c>
      <c r="E318" s="12" t="s">
        <v>2</v>
      </c>
      <c r="F318" s="12" t="s">
        <v>963</v>
      </c>
    </row>
    <row x14ac:dyDescent="0.25" r="319" customHeight="1" ht="18.75" hidden="1">
      <c r="A319" s="12" t="s">
        <v>964</v>
      </c>
      <c r="B319" s="9">
        <v>45814</v>
      </c>
      <c r="C319" s="12" t="s">
        <v>3</v>
      </c>
      <c r="D319" s="12" t="s">
        <v>965</v>
      </c>
      <c r="E319" s="12" t="s">
        <v>3</v>
      </c>
      <c r="F319" s="12" t="s">
        <v>966</v>
      </c>
    </row>
    <row x14ac:dyDescent="0.25" r="320" customHeight="1" ht="18.75" hidden="1">
      <c r="A320" s="12" t="s">
        <v>967</v>
      </c>
      <c r="B320" s="9">
        <v>45814</v>
      </c>
      <c r="C320" s="12" t="s">
        <v>3</v>
      </c>
      <c r="D320" s="12" t="s">
        <v>968</v>
      </c>
      <c r="E320" s="12" t="s">
        <v>3</v>
      </c>
      <c r="F320" s="12" t="s">
        <v>969</v>
      </c>
    </row>
    <row x14ac:dyDescent="0.25" r="321" customHeight="1" ht="18.75" hidden="1">
      <c r="A321" s="12" t="s">
        <v>970</v>
      </c>
      <c r="B321" s="9">
        <v>45814</v>
      </c>
      <c r="C321" s="12" t="s">
        <v>2</v>
      </c>
      <c r="D321" s="12" t="s">
        <v>971</v>
      </c>
      <c r="E321" s="12" t="s">
        <v>2</v>
      </c>
      <c r="F321" s="12" t="s">
        <v>972</v>
      </c>
    </row>
    <row x14ac:dyDescent="0.25" r="322" customHeight="1" ht="18.75" hidden="1">
      <c r="A322" s="12" t="s">
        <v>973</v>
      </c>
      <c r="B322" s="9">
        <v>45814</v>
      </c>
      <c r="C322" s="12" t="s">
        <v>2</v>
      </c>
      <c r="D322" s="12" t="s">
        <v>974</v>
      </c>
      <c r="E322" s="12" t="s">
        <v>2</v>
      </c>
      <c r="F322" s="12" t="s">
        <v>975</v>
      </c>
    </row>
    <row x14ac:dyDescent="0.25" r="323" customHeight="1" ht="18.75" hidden="1">
      <c r="A323" s="12" t="s">
        <v>976</v>
      </c>
      <c r="B323" s="9">
        <v>45814</v>
      </c>
      <c r="C323" s="12" t="s">
        <v>2</v>
      </c>
      <c r="D323" s="12" t="s">
        <v>977</v>
      </c>
      <c r="E323" s="12" t="s">
        <v>2</v>
      </c>
      <c r="F323" s="12" t="s">
        <v>978</v>
      </c>
    </row>
    <row x14ac:dyDescent="0.25" r="324" customHeight="1" ht="18.75" hidden="1">
      <c r="A324" s="12" t="s">
        <v>979</v>
      </c>
      <c r="B324" s="9">
        <v>45814</v>
      </c>
      <c r="C324" s="12" t="s">
        <v>3</v>
      </c>
      <c r="D324" s="12" t="s">
        <v>980</v>
      </c>
      <c r="E324" s="12" t="s">
        <v>3</v>
      </c>
      <c r="F324" s="12" t="s">
        <v>981</v>
      </c>
    </row>
    <row x14ac:dyDescent="0.25" r="325" customHeight="1" ht="18.75" hidden="1">
      <c r="A325" s="12" t="s">
        <v>982</v>
      </c>
      <c r="B325" s="9">
        <v>45814</v>
      </c>
      <c r="C325" s="12" t="s">
        <v>2</v>
      </c>
      <c r="D325" s="12" t="s">
        <v>983</v>
      </c>
      <c r="E325" s="12" t="s">
        <v>2</v>
      </c>
      <c r="F325" s="12" t="s">
        <v>984</v>
      </c>
    </row>
    <row x14ac:dyDescent="0.25" r="326" customHeight="1" ht="18.75" hidden="1">
      <c r="A326" s="12" t="s">
        <v>985</v>
      </c>
      <c r="B326" s="9">
        <v>45814</v>
      </c>
      <c r="C326" s="12" t="s">
        <v>2</v>
      </c>
      <c r="D326" s="12" t="s">
        <v>986</v>
      </c>
      <c r="E326" s="12" t="s">
        <v>2</v>
      </c>
      <c r="F326" s="12" t="s">
        <v>987</v>
      </c>
    </row>
    <row x14ac:dyDescent="0.25" r="327" customHeight="1" ht="18.75" hidden="1">
      <c r="A327" s="12" t="s">
        <v>988</v>
      </c>
      <c r="B327" s="9">
        <v>45813</v>
      </c>
      <c r="C327" s="12" t="s">
        <v>3</v>
      </c>
      <c r="D327" s="12" t="s">
        <v>989</v>
      </c>
      <c r="E327" s="12" t="s">
        <v>3</v>
      </c>
      <c r="F327" s="12" t="s">
        <v>990</v>
      </c>
    </row>
    <row x14ac:dyDescent="0.25" r="328" customHeight="1" ht="18.75" hidden="1">
      <c r="A328" s="12" t="s">
        <v>991</v>
      </c>
      <c r="B328" s="9">
        <v>45813</v>
      </c>
      <c r="C328" s="12" t="s">
        <v>3</v>
      </c>
      <c r="D328" s="12" t="s">
        <v>992</v>
      </c>
      <c r="E328" s="12" t="s">
        <v>3</v>
      </c>
      <c r="F328" s="12" t="s">
        <v>993</v>
      </c>
    </row>
    <row x14ac:dyDescent="0.25" r="329" customHeight="1" ht="18.75" hidden="1">
      <c r="A329" s="12" t="s">
        <v>994</v>
      </c>
      <c r="B329" s="9">
        <v>45813</v>
      </c>
      <c r="C329" s="12" t="s">
        <v>3</v>
      </c>
      <c r="D329" s="12" t="s">
        <v>995</v>
      </c>
      <c r="E329" s="12" t="s">
        <v>3</v>
      </c>
      <c r="F329" s="12" t="s">
        <v>996</v>
      </c>
    </row>
    <row x14ac:dyDescent="0.25" r="330" customHeight="1" ht="18.75" hidden="1">
      <c r="A330" s="12" t="s">
        <v>997</v>
      </c>
      <c r="B330" s="9">
        <v>45813</v>
      </c>
      <c r="C330" s="12" t="s">
        <v>3</v>
      </c>
      <c r="D330" s="12" t="s">
        <v>998</v>
      </c>
      <c r="E330" s="12" t="s">
        <v>3</v>
      </c>
      <c r="F330" s="12" t="s">
        <v>999</v>
      </c>
    </row>
    <row x14ac:dyDescent="0.25" r="331" customHeight="1" ht="18.75" hidden="1">
      <c r="A331" s="12" t="s">
        <v>1000</v>
      </c>
      <c r="B331" s="9">
        <v>45813</v>
      </c>
      <c r="C331" s="12" t="s">
        <v>2</v>
      </c>
      <c r="D331" s="12" t="s">
        <v>1001</v>
      </c>
      <c r="E331" s="12" t="s">
        <v>2</v>
      </c>
      <c r="F331" s="12" t="s">
        <v>1002</v>
      </c>
    </row>
    <row x14ac:dyDescent="0.25" r="332" customHeight="1" ht="18.75" hidden="1">
      <c r="A332" s="12" t="s">
        <v>1003</v>
      </c>
      <c r="B332" s="9">
        <v>45813</v>
      </c>
      <c r="C332" s="12" t="s">
        <v>3</v>
      </c>
      <c r="D332" s="12" t="s">
        <v>1004</v>
      </c>
      <c r="E332" s="12" t="s">
        <v>3</v>
      </c>
      <c r="F332" s="12" t="s">
        <v>1005</v>
      </c>
    </row>
    <row x14ac:dyDescent="0.25" r="333" customHeight="1" ht="18.75" hidden="1">
      <c r="A333" s="12" t="s">
        <v>1006</v>
      </c>
      <c r="B333" s="9">
        <v>45813</v>
      </c>
      <c r="C333" s="12" t="s">
        <v>2</v>
      </c>
      <c r="D333" s="12" t="s">
        <v>1007</v>
      </c>
      <c r="E333" s="12" t="s">
        <v>2</v>
      </c>
      <c r="F333" s="12" t="s">
        <v>1008</v>
      </c>
    </row>
    <row x14ac:dyDescent="0.25" r="334" customHeight="1" ht="18.75" hidden="1">
      <c r="A334" s="12" t="s">
        <v>1009</v>
      </c>
      <c r="B334" s="9">
        <v>45812</v>
      </c>
      <c r="C334" s="12" t="s">
        <v>2</v>
      </c>
      <c r="D334" s="12" t="s">
        <v>1010</v>
      </c>
      <c r="E334" s="12" t="s">
        <v>2</v>
      </c>
      <c r="F334" s="12" t="s">
        <v>1011</v>
      </c>
    </row>
    <row x14ac:dyDescent="0.25" r="335" customHeight="1" ht="18.75">
      <c r="A335" s="12" t="s">
        <v>1012</v>
      </c>
      <c r="B335" s="9">
        <v>45812</v>
      </c>
      <c r="C335" s="12" t="s">
        <v>101</v>
      </c>
      <c r="D335" s="12" t="s">
        <v>1013</v>
      </c>
      <c r="E335" s="12" t="s">
        <v>13</v>
      </c>
      <c r="F335" s="12" t="s">
        <v>1014</v>
      </c>
    </row>
    <row x14ac:dyDescent="0.25" r="336" customHeight="1" ht="18.75" hidden="1">
      <c r="A336" s="12" t="s">
        <v>1015</v>
      </c>
      <c r="B336" s="9">
        <v>45812</v>
      </c>
      <c r="C336" s="12" t="s">
        <v>3</v>
      </c>
      <c r="D336" s="12" t="s">
        <v>1016</v>
      </c>
      <c r="E336" s="12" t="s">
        <v>3</v>
      </c>
      <c r="F336" s="12" t="s">
        <v>1017</v>
      </c>
    </row>
    <row x14ac:dyDescent="0.25" r="337" customHeight="1" ht="18.75" hidden="1">
      <c r="A337" s="12" t="s">
        <v>1018</v>
      </c>
      <c r="B337" s="9">
        <v>45812</v>
      </c>
      <c r="C337" s="12" t="s">
        <v>2</v>
      </c>
      <c r="D337" s="12" t="s">
        <v>1019</v>
      </c>
      <c r="E337" s="12" t="s">
        <v>2</v>
      </c>
      <c r="F337" s="12" t="s">
        <v>1020</v>
      </c>
    </row>
    <row x14ac:dyDescent="0.25" r="338" customHeight="1" ht="18.75" hidden="1">
      <c r="A338" s="12" t="s">
        <v>1021</v>
      </c>
      <c r="B338" s="9">
        <v>45812</v>
      </c>
      <c r="C338" s="12" t="s">
        <v>2</v>
      </c>
      <c r="D338" s="12" t="s">
        <v>1022</v>
      </c>
      <c r="E338" s="12" t="s">
        <v>2</v>
      </c>
      <c r="F338" s="12" t="s">
        <v>1023</v>
      </c>
    </row>
    <row x14ac:dyDescent="0.25" r="339" customHeight="1" ht="18.75" hidden="1">
      <c r="A339" s="12" t="s">
        <v>1024</v>
      </c>
      <c r="B339" s="9">
        <v>45812</v>
      </c>
      <c r="C339" s="12" t="s">
        <v>3</v>
      </c>
      <c r="D339" s="12" t="s">
        <v>1025</v>
      </c>
      <c r="E339" s="12" t="s">
        <v>3</v>
      </c>
      <c r="F339" s="12" t="s">
        <v>1026</v>
      </c>
    </row>
    <row x14ac:dyDescent="0.25" r="340" customHeight="1" ht="18.75" hidden="1">
      <c r="A340" s="12" t="s">
        <v>1027</v>
      </c>
      <c r="B340" s="9">
        <v>45812</v>
      </c>
      <c r="C340" s="12" t="s">
        <v>3</v>
      </c>
      <c r="D340" s="12" t="s">
        <v>1028</v>
      </c>
      <c r="E340" s="12" t="s">
        <v>3</v>
      </c>
      <c r="F340" s="12" t="s">
        <v>1029</v>
      </c>
    </row>
    <row x14ac:dyDescent="0.25" r="341" customHeight="1" ht="18.75" hidden="1">
      <c r="A341" s="12" t="s">
        <v>1030</v>
      </c>
      <c r="B341" s="9">
        <v>45812</v>
      </c>
      <c r="C341" s="12" t="s">
        <v>3</v>
      </c>
      <c r="D341" s="12" t="s">
        <v>1031</v>
      </c>
      <c r="E341" s="12" t="s">
        <v>3</v>
      </c>
      <c r="F341" s="12" t="s">
        <v>1032</v>
      </c>
    </row>
    <row x14ac:dyDescent="0.25" r="342" customHeight="1" ht="18.75" hidden="1">
      <c r="A342" s="12" t="s">
        <v>1033</v>
      </c>
      <c r="B342" s="9">
        <v>45811</v>
      </c>
      <c r="C342" s="12" t="s">
        <v>2</v>
      </c>
      <c r="D342" s="12" t="s">
        <v>1034</v>
      </c>
      <c r="E342" s="12" t="s">
        <v>2</v>
      </c>
      <c r="F342" s="12" t="s">
        <v>1035</v>
      </c>
    </row>
    <row x14ac:dyDescent="0.25" r="343" customHeight="1" ht="18.75" hidden="1">
      <c r="A343" s="12" t="s">
        <v>1036</v>
      </c>
      <c r="B343" s="9">
        <v>45811</v>
      </c>
      <c r="C343" s="12" t="s">
        <v>2</v>
      </c>
      <c r="D343" s="12" t="s">
        <v>1037</v>
      </c>
      <c r="E343" s="12" t="s">
        <v>2</v>
      </c>
      <c r="F343" s="12" t="s">
        <v>1038</v>
      </c>
    </row>
    <row x14ac:dyDescent="0.25" r="344" customHeight="1" ht="18.75" hidden="1">
      <c r="A344" s="12" t="s">
        <v>1039</v>
      </c>
      <c r="B344" s="9">
        <v>45810</v>
      </c>
      <c r="C344" s="12" t="s">
        <v>2</v>
      </c>
      <c r="D344" s="12" t="s">
        <v>1040</v>
      </c>
      <c r="E344" s="12" t="s">
        <v>2</v>
      </c>
      <c r="F344" s="12" t="s">
        <v>1041</v>
      </c>
    </row>
    <row x14ac:dyDescent="0.25" r="345" customHeight="1" ht="18.75" hidden="1">
      <c r="A345" s="12" t="s">
        <v>1042</v>
      </c>
      <c r="B345" s="9">
        <v>45810</v>
      </c>
      <c r="C345" s="12" t="s">
        <v>2</v>
      </c>
      <c r="D345" s="12" t="s">
        <v>1043</v>
      </c>
      <c r="E345" s="12" t="s">
        <v>2</v>
      </c>
      <c r="F345" s="12" t="s">
        <v>1044</v>
      </c>
    </row>
    <row x14ac:dyDescent="0.25" r="346" customHeight="1" ht="18.75" hidden="1">
      <c r="A346" s="12" t="s">
        <v>1045</v>
      </c>
      <c r="B346" s="9">
        <v>45810</v>
      </c>
      <c r="C346" s="12" t="s">
        <v>2</v>
      </c>
      <c r="D346" s="12" t="s">
        <v>1046</v>
      </c>
      <c r="E346" s="12" t="s">
        <v>2</v>
      </c>
      <c r="F346" s="12" t="s">
        <v>1047</v>
      </c>
    </row>
    <row x14ac:dyDescent="0.25" r="347" customHeight="1" ht="18.75" hidden="1">
      <c r="A347" s="12" t="s">
        <v>1048</v>
      </c>
      <c r="B347" s="9">
        <v>45810</v>
      </c>
      <c r="C347" s="12" t="s">
        <v>3</v>
      </c>
      <c r="D347" s="12" t="s">
        <v>1049</v>
      </c>
      <c r="E347" s="12" t="s">
        <v>3</v>
      </c>
      <c r="F347" s="12" t="s">
        <v>1050</v>
      </c>
    </row>
    <row x14ac:dyDescent="0.25" r="348" customHeight="1" ht="18.75">
      <c r="A348" s="12" t="s">
        <v>1051</v>
      </c>
      <c r="B348" s="9">
        <v>45810</v>
      </c>
      <c r="C348" s="12" t="s">
        <v>101</v>
      </c>
      <c r="D348" s="12" t="s">
        <v>1052</v>
      </c>
      <c r="E348" s="12" t="s">
        <v>13</v>
      </c>
      <c r="F348" s="12" t="s">
        <v>1053</v>
      </c>
    </row>
    <row x14ac:dyDescent="0.25" r="349" customHeight="1" ht="18.75" hidden="1">
      <c r="A349" s="12" t="s">
        <v>1054</v>
      </c>
      <c r="B349" s="9">
        <v>45810</v>
      </c>
      <c r="C349" s="12" t="s">
        <v>3</v>
      </c>
      <c r="D349" s="12" t="s">
        <v>1055</v>
      </c>
      <c r="E349" s="12" t="s">
        <v>3</v>
      </c>
      <c r="F349" s="12" t="s">
        <v>1056</v>
      </c>
    </row>
    <row x14ac:dyDescent="0.25" r="350" customHeight="1" ht="18.75" hidden="1">
      <c r="A350" s="12" t="s">
        <v>1057</v>
      </c>
      <c r="B350" s="9">
        <v>45810</v>
      </c>
      <c r="C350" s="12" t="s">
        <v>2</v>
      </c>
      <c r="D350" s="12" t="s">
        <v>1058</v>
      </c>
      <c r="E350" s="12" t="s">
        <v>2</v>
      </c>
      <c r="F350" s="12" t="s">
        <v>1059</v>
      </c>
    </row>
    <row x14ac:dyDescent="0.25" r="351" customHeight="1" ht="18.75" hidden="1">
      <c r="A351" s="12" t="s">
        <v>1060</v>
      </c>
      <c r="B351" s="9">
        <v>45810</v>
      </c>
      <c r="C351" s="12" t="s">
        <v>3</v>
      </c>
      <c r="D351" s="12" t="s">
        <v>1061</v>
      </c>
      <c r="E351" s="12" t="s">
        <v>3</v>
      </c>
      <c r="F351" s="12" t="s">
        <v>1062</v>
      </c>
    </row>
    <row x14ac:dyDescent="0.25" r="352" customHeight="1" ht="18.75" hidden="1">
      <c r="A352" s="12" t="s">
        <v>1063</v>
      </c>
      <c r="B352" s="9">
        <v>45809</v>
      </c>
      <c r="C352" s="12" t="s">
        <v>3</v>
      </c>
      <c r="D352" s="12" t="s">
        <v>1064</v>
      </c>
      <c r="E352" s="12" t="s">
        <v>3</v>
      </c>
      <c r="F352" s="12" t="s">
        <v>1065</v>
      </c>
    </row>
    <row x14ac:dyDescent="0.25" r="353" customHeight="1" ht="18.75" hidden="1">
      <c r="A353" s="12" t="s">
        <v>1066</v>
      </c>
      <c r="B353" s="9">
        <v>45809</v>
      </c>
      <c r="C353" s="12" t="s">
        <v>3</v>
      </c>
      <c r="D353" s="12" t="s">
        <v>1067</v>
      </c>
      <c r="E353" s="12" t="s">
        <v>3</v>
      </c>
      <c r="F353" s="12" t="s">
        <v>1068</v>
      </c>
    </row>
    <row x14ac:dyDescent="0.25" r="354" customHeight="1" ht="18.75" hidden="1">
      <c r="A354" s="12" t="s">
        <v>1069</v>
      </c>
      <c r="B354" s="9">
        <v>45808</v>
      </c>
      <c r="C354" s="12" t="s">
        <v>3</v>
      </c>
      <c r="D354" s="12" t="s">
        <v>1070</v>
      </c>
      <c r="E354" s="12" t="s">
        <v>2</v>
      </c>
      <c r="F354" s="12" t="s">
        <v>1071</v>
      </c>
    </row>
    <row x14ac:dyDescent="0.25" r="355" customHeight="1" ht="18.75" hidden="1">
      <c r="A355" s="12" t="s">
        <v>1072</v>
      </c>
      <c r="B355" s="9">
        <v>45808</v>
      </c>
      <c r="C355" s="12" t="s">
        <v>2</v>
      </c>
      <c r="D355" s="12" t="s">
        <v>1073</v>
      </c>
      <c r="E355" s="12" t="s">
        <v>2</v>
      </c>
      <c r="F355" s="12" t="s">
        <v>1074</v>
      </c>
    </row>
    <row x14ac:dyDescent="0.25" r="356" customHeight="1" ht="18.75" hidden="1">
      <c r="A356" s="12" t="s">
        <v>1075</v>
      </c>
      <c r="B356" s="9">
        <v>45807</v>
      </c>
      <c r="C356" s="12" t="s">
        <v>3</v>
      </c>
      <c r="D356" s="12" t="s">
        <v>1076</v>
      </c>
      <c r="E356" s="12" t="s">
        <v>3</v>
      </c>
      <c r="F356" s="12" t="s">
        <v>1077</v>
      </c>
    </row>
    <row x14ac:dyDescent="0.25" r="357" customHeight="1" ht="18.75" hidden="1">
      <c r="A357" s="12" t="s">
        <v>1078</v>
      </c>
      <c r="B357" s="9">
        <v>45807</v>
      </c>
      <c r="C357" s="12" t="s">
        <v>3</v>
      </c>
      <c r="D357" s="12" t="s">
        <v>1079</v>
      </c>
      <c r="E357" s="12" t="s">
        <v>3</v>
      </c>
      <c r="F357" s="12" t="s">
        <v>1080</v>
      </c>
    </row>
    <row x14ac:dyDescent="0.25" r="358" customHeight="1" ht="18.75" hidden="1">
      <c r="A358" s="12" t="s">
        <v>1081</v>
      </c>
      <c r="B358" s="9">
        <v>45807</v>
      </c>
      <c r="C358" s="12" t="s">
        <v>3</v>
      </c>
      <c r="D358" s="12" t="s">
        <v>1082</v>
      </c>
      <c r="E358" s="12" t="s">
        <v>3</v>
      </c>
      <c r="F358" s="12" t="s">
        <v>1083</v>
      </c>
    </row>
    <row x14ac:dyDescent="0.25" r="359" customHeight="1" ht="18.75" hidden="1">
      <c r="A359" s="12" t="s">
        <v>1084</v>
      </c>
      <c r="B359" s="9">
        <v>45807</v>
      </c>
      <c r="C359" s="12" t="s">
        <v>3</v>
      </c>
      <c r="D359" s="12" t="s">
        <v>1085</v>
      </c>
      <c r="E359" s="12" t="s">
        <v>3</v>
      </c>
      <c r="F359" s="12" t="s">
        <v>1086</v>
      </c>
    </row>
    <row x14ac:dyDescent="0.25" r="360" customHeight="1" ht="18.75" hidden="1">
      <c r="A360" s="12" t="s">
        <v>1087</v>
      </c>
      <c r="B360" s="9">
        <v>45807</v>
      </c>
      <c r="C360" s="12" t="s">
        <v>3</v>
      </c>
      <c r="D360" s="12" t="s">
        <v>1088</v>
      </c>
      <c r="E360" s="12" t="s">
        <v>3</v>
      </c>
      <c r="F360" s="12" t="s">
        <v>1089</v>
      </c>
    </row>
    <row x14ac:dyDescent="0.25" r="361" customHeight="1" ht="18.75" hidden="1">
      <c r="A361" s="12" t="s">
        <v>1090</v>
      </c>
      <c r="B361" s="9">
        <v>45807</v>
      </c>
      <c r="C361" s="12" t="s">
        <v>3</v>
      </c>
      <c r="D361" s="12" t="s">
        <v>1091</v>
      </c>
      <c r="E361" s="12" t="s">
        <v>3</v>
      </c>
      <c r="F361" s="12" t="s">
        <v>1092</v>
      </c>
    </row>
    <row x14ac:dyDescent="0.25" r="362" customHeight="1" ht="18.75" hidden="1">
      <c r="A362" s="12" t="s">
        <v>1093</v>
      </c>
      <c r="B362" s="9">
        <v>45807</v>
      </c>
      <c r="C362" s="12" t="s">
        <v>3</v>
      </c>
      <c r="D362" s="12" t="s">
        <v>1094</v>
      </c>
      <c r="E362" s="12" t="s">
        <v>3</v>
      </c>
      <c r="F362" s="12" t="s">
        <v>1095</v>
      </c>
    </row>
    <row x14ac:dyDescent="0.25" r="363" customHeight="1" ht="18.75" hidden="1">
      <c r="A363" s="12" t="s">
        <v>1096</v>
      </c>
      <c r="B363" s="9">
        <v>45807</v>
      </c>
      <c r="C363" s="12" t="s">
        <v>2</v>
      </c>
      <c r="D363" s="12" t="s">
        <v>1097</v>
      </c>
      <c r="E363" s="12" t="s">
        <v>2</v>
      </c>
      <c r="F363" s="12" t="s">
        <v>1098</v>
      </c>
    </row>
    <row x14ac:dyDescent="0.25" r="364" customHeight="1" ht="18.75" hidden="1">
      <c r="A364" s="12" t="s">
        <v>1099</v>
      </c>
      <c r="B364" s="9">
        <v>45806</v>
      </c>
      <c r="C364" s="12" t="s">
        <v>3</v>
      </c>
      <c r="D364" s="12" t="s">
        <v>1100</v>
      </c>
      <c r="E364" s="12" t="s">
        <v>3</v>
      </c>
      <c r="F364" s="12" t="s">
        <v>1101</v>
      </c>
    </row>
    <row x14ac:dyDescent="0.25" r="365" customHeight="1" ht="18.75" hidden="1">
      <c r="A365" s="12" t="s">
        <v>1102</v>
      </c>
      <c r="B365" s="9">
        <v>45806</v>
      </c>
      <c r="C365" s="12" t="s">
        <v>3</v>
      </c>
      <c r="D365" s="12" t="s">
        <v>1103</v>
      </c>
      <c r="E365" s="12" t="s">
        <v>3</v>
      </c>
      <c r="F365" s="12" t="s">
        <v>1104</v>
      </c>
    </row>
    <row x14ac:dyDescent="0.25" r="366" customHeight="1" ht="18.75" hidden="1">
      <c r="A366" s="12" t="s">
        <v>1105</v>
      </c>
      <c r="B366" s="9">
        <v>45806</v>
      </c>
      <c r="C366" s="12" t="s">
        <v>2</v>
      </c>
      <c r="D366" s="12" t="s">
        <v>1106</v>
      </c>
      <c r="E366" s="12" t="s">
        <v>2</v>
      </c>
      <c r="F366" s="12" t="s">
        <v>1107</v>
      </c>
    </row>
    <row x14ac:dyDescent="0.25" r="367" customHeight="1" ht="18.75" hidden="1">
      <c r="A367" s="12" t="s">
        <v>1108</v>
      </c>
      <c r="B367" s="9">
        <v>45806</v>
      </c>
      <c r="C367" s="12" t="s">
        <v>2</v>
      </c>
      <c r="D367" s="12" t="s">
        <v>1109</v>
      </c>
      <c r="E367" s="12" t="s">
        <v>2</v>
      </c>
      <c r="F367" s="12" t="s">
        <v>1110</v>
      </c>
    </row>
    <row x14ac:dyDescent="0.25" r="368" customHeight="1" ht="18.75" hidden="1">
      <c r="A368" s="12" t="s">
        <v>1111</v>
      </c>
      <c r="B368" s="9">
        <v>45806</v>
      </c>
      <c r="C368" s="12" t="s">
        <v>3</v>
      </c>
      <c r="D368" s="12" t="s">
        <v>1112</v>
      </c>
      <c r="E368" s="12" t="s">
        <v>3</v>
      </c>
      <c r="F368" s="12" t="s">
        <v>1113</v>
      </c>
    </row>
    <row x14ac:dyDescent="0.25" r="369" customHeight="1" ht="18.75" hidden="1">
      <c r="A369" s="12" t="s">
        <v>1114</v>
      </c>
      <c r="B369" s="9">
        <v>45806</v>
      </c>
      <c r="C369" s="12" t="s">
        <v>3</v>
      </c>
      <c r="D369" s="12" t="s">
        <v>1115</v>
      </c>
      <c r="E369" s="12" t="s">
        <v>3</v>
      </c>
      <c r="F369" s="12" t="s">
        <v>1116</v>
      </c>
    </row>
    <row x14ac:dyDescent="0.25" r="370" customHeight="1" ht="18.75" hidden="1">
      <c r="A370" s="12" t="s">
        <v>1117</v>
      </c>
      <c r="B370" s="9">
        <v>45806</v>
      </c>
      <c r="C370" s="12" t="s">
        <v>2</v>
      </c>
      <c r="D370" s="12" t="s">
        <v>1118</v>
      </c>
      <c r="E370" s="12" t="s">
        <v>2</v>
      </c>
      <c r="F370" s="12" t="s">
        <v>1119</v>
      </c>
    </row>
    <row x14ac:dyDescent="0.25" r="371" customHeight="1" ht="18.75" hidden="1">
      <c r="A371" s="12" t="s">
        <v>1120</v>
      </c>
      <c r="B371" s="9">
        <v>45806</v>
      </c>
      <c r="C371" s="12" t="s">
        <v>3</v>
      </c>
      <c r="D371" s="12" t="s">
        <v>1121</v>
      </c>
      <c r="E371" s="12" t="s">
        <v>3</v>
      </c>
      <c r="F371" s="12" t="s">
        <v>1122</v>
      </c>
    </row>
    <row x14ac:dyDescent="0.25" r="372" customHeight="1" ht="18.75" hidden="1">
      <c r="A372" s="12" t="s">
        <v>1123</v>
      </c>
      <c r="B372" s="9">
        <v>45806</v>
      </c>
      <c r="C372" s="12" t="s">
        <v>2</v>
      </c>
      <c r="D372" s="12" t="s">
        <v>1124</v>
      </c>
      <c r="E372" s="12" t="s">
        <v>2</v>
      </c>
      <c r="F372" s="12" t="s">
        <v>1125</v>
      </c>
    </row>
    <row x14ac:dyDescent="0.25" r="373" customHeight="1" ht="18.75" hidden="1">
      <c r="A373" s="12" t="s">
        <v>1126</v>
      </c>
      <c r="B373" s="9">
        <v>45806</v>
      </c>
      <c r="C373" s="12" t="s">
        <v>3</v>
      </c>
      <c r="D373" s="12" t="s">
        <v>1127</v>
      </c>
      <c r="E373" s="12" t="s">
        <v>3</v>
      </c>
      <c r="F373" s="12" t="s">
        <v>1128</v>
      </c>
    </row>
    <row x14ac:dyDescent="0.25" r="374" customHeight="1" ht="18.75" hidden="1">
      <c r="A374" s="12" t="s">
        <v>1129</v>
      </c>
      <c r="B374" s="9">
        <v>45806</v>
      </c>
      <c r="C374" s="12" t="s">
        <v>3</v>
      </c>
      <c r="D374" s="12" t="s">
        <v>1130</v>
      </c>
      <c r="E374" s="12" t="s">
        <v>3</v>
      </c>
      <c r="F374" s="12" t="s">
        <v>1131</v>
      </c>
    </row>
    <row x14ac:dyDescent="0.25" r="375" customHeight="1" ht="18.75" hidden="1">
      <c r="A375" s="12" t="s">
        <v>1132</v>
      </c>
      <c r="B375" s="9">
        <v>45806</v>
      </c>
      <c r="C375" s="12" t="s">
        <v>2</v>
      </c>
      <c r="D375" s="12" t="s">
        <v>1133</v>
      </c>
      <c r="E375" s="12" t="s">
        <v>2</v>
      </c>
      <c r="F375" s="12" t="s">
        <v>1134</v>
      </c>
    </row>
    <row x14ac:dyDescent="0.25" r="376" customHeight="1" ht="18.75" hidden="1">
      <c r="A376" s="12" t="s">
        <v>1135</v>
      </c>
      <c r="B376" s="9">
        <v>45805</v>
      </c>
      <c r="C376" s="12" t="s">
        <v>3</v>
      </c>
      <c r="D376" s="12" t="s">
        <v>1136</v>
      </c>
      <c r="E376" s="12" t="s">
        <v>3</v>
      </c>
      <c r="F376" s="12" t="s">
        <v>1137</v>
      </c>
    </row>
    <row x14ac:dyDescent="0.25" r="377" customHeight="1" ht="18.75">
      <c r="A377" s="12" t="s">
        <v>1138</v>
      </c>
      <c r="B377" s="9">
        <v>45805</v>
      </c>
      <c r="C377" s="12" t="s">
        <v>2</v>
      </c>
      <c r="D377" s="12" t="s">
        <v>1139</v>
      </c>
      <c r="E377" s="12" t="s">
        <v>13</v>
      </c>
      <c r="F377" s="12" t="s">
        <v>1140</v>
      </c>
    </row>
    <row x14ac:dyDescent="0.25" r="378" customHeight="1" ht="18.75" hidden="1">
      <c r="A378" s="12" t="s">
        <v>1141</v>
      </c>
      <c r="B378" s="9">
        <v>45805</v>
      </c>
      <c r="C378" s="12" t="s">
        <v>3</v>
      </c>
      <c r="D378" s="12" t="s">
        <v>1142</v>
      </c>
      <c r="E378" s="12" t="s">
        <v>2</v>
      </c>
      <c r="F378" s="12" t="s">
        <v>1143</v>
      </c>
    </row>
    <row x14ac:dyDescent="0.25" r="379" customHeight="1" ht="18.75" hidden="1">
      <c r="A379" s="12" t="s">
        <v>1144</v>
      </c>
      <c r="B379" s="9">
        <v>45805</v>
      </c>
      <c r="C379" s="12" t="s">
        <v>2</v>
      </c>
      <c r="D379" s="12" t="s">
        <v>1145</v>
      </c>
      <c r="E379" s="12" t="s">
        <v>2</v>
      </c>
      <c r="F379" s="12" t="s">
        <v>1146</v>
      </c>
    </row>
    <row x14ac:dyDescent="0.25" r="380" customHeight="1" ht="18.75" hidden="1">
      <c r="A380" s="12" t="s">
        <v>1147</v>
      </c>
      <c r="B380" s="9">
        <v>45805</v>
      </c>
      <c r="C380" s="12" t="s">
        <v>2</v>
      </c>
      <c r="D380" s="12" t="s">
        <v>1148</v>
      </c>
      <c r="E380" s="12" t="s">
        <v>2</v>
      </c>
      <c r="F380" s="12" t="s">
        <v>1149</v>
      </c>
    </row>
    <row x14ac:dyDescent="0.25" r="381" customHeight="1" ht="18.75">
      <c r="A381" s="12" t="s">
        <v>1150</v>
      </c>
      <c r="B381" s="9">
        <v>45805</v>
      </c>
      <c r="C381" s="12" t="s">
        <v>101</v>
      </c>
      <c r="D381" s="12" t="s">
        <v>1151</v>
      </c>
      <c r="E381" s="12" t="s">
        <v>13</v>
      </c>
      <c r="F381" s="12" t="s">
        <v>1152</v>
      </c>
    </row>
    <row x14ac:dyDescent="0.25" r="382" customHeight="1" ht="18.75" hidden="1">
      <c r="A382" s="12" t="s">
        <v>1153</v>
      </c>
      <c r="B382" s="9">
        <v>45805</v>
      </c>
      <c r="C382" s="12" t="s">
        <v>3</v>
      </c>
      <c r="D382" s="12" t="s">
        <v>1154</v>
      </c>
      <c r="E382" s="12" t="s">
        <v>3</v>
      </c>
      <c r="F382" s="12" t="s">
        <v>1155</v>
      </c>
    </row>
    <row x14ac:dyDescent="0.25" r="383" customHeight="1" ht="18.75" hidden="1">
      <c r="A383" s="12" t="s">
        <v>1156</v>
      </c>
      <c r="B383" s="9">
        <v>45805</v>
      </c>
      <c r="C383" s="12" t="s">
        <v>2</v>
      </c>
      <c r="D383" s="12" t="s">
        <v>1157</v>
      </c>
      <c r="E383" s="12" t="s">
        <v>2</v>
      </c>
      <c r="F383" s="12" t="s">
        <v>1158</v>
      </c>
    </row>
    <row x14ac:dyDescent="0.25" r="384" customHeight="1" ht="18.75" hidden="1">
      <c r="A384" s="12" t="s">
        <v>1159</v>
      </c>
      <c r="B384" s="9">
        <v>45805</v>
      </c>
      <c r="C384" s="12" t="s">
        <v>2</v>
      </c>
      <c r="D384" s="12" t="s">
        <v>1160</v>
      </c>
      <c r="E384" s="12" t="s">
        <v>2</v>
      </c>
      <c r="F384" s="12" t="s">
        <v>1161</v>
      </c>
    </row>
    <row x14ac:dyDescent="0.25" r="385" customHeight="1" ht="18.75" hidden="1">
      <c r="A385" s="12" t="s">
        <v>1162</v>
      </c>
      <c r="B385" s="9">
        <v>45805</v>
      </c>
      <c r="C385" s="12" t="s">
        <v>3</v>
      </c>
      <c r="D385" s="12" t="s">
        <v>1163</v>
      </c>
      <c r="E385" s="12" t="s">
        <v>3</v>
      </c>
      <c r="F385" s="12" t="s">
        <v>1164</v>
      </c>
    </row>
    <row x14ac:dyDescent="0.25" r="386" customHeight="1" ht="18.75" hidden="1">
      <c r="A386" s="12" t="s">
        <v>1165</v>
      </c>
      <c r="B386" s="9">
        <v>45805</v>
      </c>
      <c r="C386" s="12" t="s">
        <v>3</v>
      </c>
      <c r="D386" s="12" t="s">
        <v>1166</v>
      </c>
      <c r="E386" s="12" t="s">
        <v>3</v>
      </c>
      <c r="F386" s="12" t="s">
        <v>1167</v>
      </c>
    </row>
    <row x14ac:dyDescent="0.25" r="387" customHeight="1" ht="18.75" hidden="1">
      <c r="A387" s="12" t="s">
        <v>1168</v>
      </c>
      <c r="B387" s="9">
        <v>45804</v>
      </c>
      <c r="C387" s="12" t="s">
        <v>2</v>
      </c>
      <c r="D387" s="12" t="s">
        <v>1169</v>
      </c>
      <c r="E387" s="12" t="s">
        <v>2</v>
      </c>
      <c r="F387" s="12" t="s">
        <v>1170</v>
      </c>
    </row>
    <row x14ac:dyDescent="0.25" r="388" customHeight="1" ht="18.75" hidden="1">
      <c r="A388" s="12" t="s">
        <v>1171</v>
      </c>
      <c r="B388" s="9">
        <v>45804</v>
      </c>
      <c r="C388" s="12" t="s">
        <v>3</v>
      </c>
      <c r="D388" s="12" t="s">
        <v>1172</v>
      </c>
      <c r="E388" s="12" t="s">
        <v>3</v>
      </c>
      <c r="F388" s="12" t="s">
        <v>1173</v>
      </c>
    </row>
    <row x14ac:dyDescent="0.25" r="389" customHeight="1" ht="18.75" hidden="1">
      <c r="A389" s="12" t="s">
        <v>1174</v>
      </c>
      <c r="B389" s="9">
        <v>45804</v>
      </c>
      <c r="C389" s="12" t="s">
        <v>3</v>
      </c>
      <c r="D389" s="12" t="s">
        <v>1175</v>
      </c>
      <c r="E389" s="12" t="s">
        <v>3</v>
      </c>
      <c r="F389" s="12" t="s">
        <v>1176</v>
      </c>
    </row>
    <row x14ac:dyDescent="0.25" r="390" customHeight="1" ht="18.75" hidden="1">
      <c r="A390" s="12" t="s">
        <v>1177</v>
      </c>
      <c r="B390" s="9">
        <v>45804</v>
      </c>
      <c r="C390" s="12" t="s">
        <v>3</v>
      </c>
      <c r="D390" s="12" t="s">
        <v>1178</v>
      </c>
      <c r="E390" s="12" t="s">
        <v>3</v>
      </c>
      <c r="F390" s="12" t="s">
        <v>1179</v>
      </c>
    </row>
    <row x14ac:dyDescent="0.25" r="391" customHeight="1" ht="18.75" hidden="1">
      <c r="A391" s="12" t="s">
        <v>1180</v>
      </c>
      <c r="B391" s="9">
        <v>45804</v>
      </c>
      <c r="C391" s="12" t="s">
        <v>2</v>
      </c>
      <c r="D391" s="12" t="s">
        <v>1181</v>
      </c>
      <c r="E391" s="12" t="s">
        <v>2</v>
      </c>
      <c r="F391" s="12" t="s">
        <v>1182</v>
      </c>
    </row>
    <row x14ac:dyDescent="0.25" r="392" customHeight="1" ht="18.75" hidden="1">
      <c r="A392" s="12" t="s">
        <v>1183</v>
      </c>
      <c r="B392" s="9">
        <v>45804</v>
      </c>
      <c r="C392" s="12" t="s">
        <v>3</v>
      </c>
      <c r="D392" s="12" t="s">
        <v>1184</v>
      </c>
      <c r="E392" s="12" t="s">
        <v>3</v>
      </c>
      <c r="F392" s="12" t="s">
        <v>1185</v>
      </c>
    </row>
    <row x14ac:dyDescent="0.25" r="393" customHeight="1" ht="18.75" hidden="1">
      <c r="A393" s="12" t="s">
        <v>1186</v>
      </c>
      <c r="B393" s="9">
        <v>45804</v>
      </c>
      <c r="C393" s="12" t="s">
        <v>2</v>
      </c>
      <c r="D393" s="12" t="s">
        <v>1187</v>
      </c>
      <c r="E393" s="12" t="s">
        <v>2</v>
      </c>
      <c r="F393" s="12" t="s">
        <v>1188</v>
      </c>
    </row>
    <row x14ac:dyDescent="0.25" r="394" customHeight="1" ht="18.75" hidden="1">
      <c r="A394" s="12" t="s">
        <v>1189</v>
      </c>
      <c r="B394" s="9">
        <v>45804</v>
      </c>
      <c r="C394" s="12" t="s">
        <v>2</v>
      </c>
      <c r="D394" s="12" t="s">
        <v>1190</v>
      </c>
      <c r="E394" s="12" t="s">
        <v>2</v>
      </c>
      <c r="F394" s="12" t="s">
        <v>1191</v>
      </c>
    </row>
    <row x14ac:dyDescent="0.25" r="395" customHeight="1" ht="18.75" hidden="1">
      <c r="A395" s="12" t="s">
        <v>1192</v>
      </c>
      <c r="B395" s="9">
        <v>45804</v>
      </c>
      <c r="C395" s="12" t="s">
        <v>3</v>
      </c>
      <c r="D395" s="12" t="s">
        <v>1193</v>
      </c>
      <c r="E395" s="12" t="s">
        <v>3</v>
      </c>
      <c r="F395" s="12" t="s">
        <v>1194</v>
      </c>
    </row>
    <row x14ac:dyDescent="0.25" r="396" customHeight="1" ht="18.75">
      <c r="A396" s="12" t="s">
        <v>1195</v>
      </c>
      <c r="B396" s="9">
        <v>45804</v>
      </c>
      <c r="C396" s="12" t="s">
        <v>101</v>
      </c>
      <c r="D396" s="12" t="s">
        <v>1196</v>
      </c>
      <c r="E396" s="12" t="s">
        <v>13</v>
      </c>
      <c r="F396" s="12" t="s">
        <v>1197</v>
      </c>
    </row>
    <row x14ac:dyDescent="0.25" r="397" customHeight="1" ht="18.75" hidden="1">
      <c r="A397" s="12" t="s">
        <v>1198</v>
      </c>
      <c r="B397" s="9">
        <v>45804</v>
      </c>
      <c r="C397" s="12" t="s">
        <v>3</v>
      </c>
      <c r="D397" s="12" t="s">
        <v>1199</v>
      </c>
      <c r="E397" s="12" t="s">
        <v>3</v>
      </c>
      <c r="F397" s="12" t="s">
        <v>1200</v>
      </c>
    </row>
    <row x14ac:dyDescent="0.25" r="398" customHeight="1" ht="18.75" hidden="1">
      <c r="A398" s="12" t="s">
        <v>1201</v>
      </c>
      <c r="B398" s="9">
        <v>45803</v>
      </c>
      <c r="C398" s="12" t="s">
        <v>2</v>
      </c>
      <c r="D398" s="12" t="s">
        <v>1202</v>
      </c>
      <c r="E398" s="12" t="s">
        <v>2</v>
      </c>
      <c r="F398" s="12" t="s">
        <v>1203</v>
      </c>
    </row>
    <row x14ac:dyDescent="0.25" r="399" customHeight="1" ht="18.75" hidden="1">
      <c r="A399" s="12" t="s">
        <v>1204</v>
      </c>
      <c r="B399" s="9">
        <v>45803</v>
      </c>
      <c r="C399" s="12" t="s">
        <v>2</v>
      </c>
      <c r="D399" s="12" t="s">
        <v>1205</v>
      </c>
      <c r="E399" s="12" t="s">
        <v>2</v>
      </c>
      <c r="F399" s="12" t="s">
        <v>1206</v>
      </c>
    </row>
    <row x14ac:dyDescent="0.25" r="400" customHeight="1" ht="18.75">
      <c r="A400" s="12" t="s">
        <v>1207</v>
      </c>
      <c r="B400" s="9">
        <v>45803</v>
      </c>
      <c r="C400" s="12" t="s">
        <v>101</v>
      </c>
      <c r="D400" s="12" t="s">
        <v>1208</v>
      </c>
      <c r="E400" s="12" t="s">
        <v>13</v>
      </c>
      <c r="F400" s="12" t="s">
        <v>1209</v>
      </c>
    </row>
    <row x14ac:dyDescent="0.25" r="401" customHeight="1" ht="18.75" hidden="1">
      <c r="A401" s="12" t="s">
        <v>1210</v>
      </c>
      <c r="B401" s="9">
        <v>45803</v>
      </c>
      <c r="C401" s="12" t="s">
        <v>3</v>
      </c>
      <c r="D401" s="12" t="s">
        <v>1211</v>
      </c>
      <c r="E401" s="12" t="s">
        <v>3</v>
      </c>
      <c r="F401" s="12" t="s">
        <v>1212</v>
      </c>
    </row>
    <row x14ac:dyDescent="0.25" r="402" customHeight="1" ht="18.75" hidden="1">
      <c r="A402" s="12" t="s">
        <v>1213</v>
      </c>
      <c r="B402" s="9">
        <v>45803</v>
      </c>
      <c r="C402" s="12" t="s">
        <v>3</v>
      </c>
      <c r="D402" s="12" t="s">
        <v>1214</v>
      </c>
      <c r="E402" s="12" t="s">
        <v>3</v>
      </c>
      <c r="F402" s="12" t="s">
        <v>1215</v>
      </c>
    </row>
    <row x14ac:dyDescent="0.25" r="403" customHeight="1" ht="18.75" hidden="1">
      <c r="A403" s="12" t="s">
        <v>1216</v>
      </c>
      <c r="B403" s="9">
        <v>45803</v>
      </c>
      <c r="C403" s="12" t="s">
        <v>2</v>
      </c>
      <c r="D403" s="12" t="s">
        <v>1217</v>
      </c>
      <c r="E403" s="12" t="s">
        <v>2</v>
      </c>
      <c r="F403" s="12" t="s">
        <v>1218</v>
      </c>
    </row>
    <row x14ac:dyDescent="0.25" r="404" customHeight="1" ht="18.75" hidden="1">
      <c r="A404" s="12" t="s">
        <v>1219</v>
      </c>
      <c r="B404" s="9">
        <v>45803</v>
      </c>
      <c r="C404" s="12" t="s">
        <v>3</v>
      </c>
      <c r="D404" s="12" t="s">
        <v>1220</v>
      </c>
      <c r="E404" s="12" t="s">
        <v>3</v>
      </c>
      <c r="F404" s="12" t="s">
        <v>1221</v>
      </c>
    </row>
    <row x14ac:dyDescent="0.25" r="405" customHeight="1" ht="18.75" hidden="1">
      <c r="A405" s="12" t="s">
        <v>1222</v>
      </c>
      <c r="B405" s="9">
        <v>45800</v>
      </c>
      <c r="C405" s="12" t="s">
        <v>3</v>
      </c>
      <c r="D405" s="12" t="s">
        <v>1223</v>
      </c>
      <c r="E405" s="12" t="s">
        <v>3</v>
      </c>
      <c r="F405" s="12" t="s">
        <v>1224</v>
      </c>
    </row>
    <row x14ac:dyDescent="0.25" r="406" customHeight="1" ht="18.75" hidden="1">
      <c r="A406" s="12" t="s">
        <v>1225</v>
      </c>
      <c r="B406" s="9">
        <v>45800</v>
      </c>
      <c r="C406" s="12" t="s">
        <v>3</v>
      </c>
      <c r="D406" s="12" t="s">
        <v>1226</v>
      </c>
      <c r="E406" s="12" t="s">
        <v>3</v>
      </c>
      <c r="F406" s="12" t="s">
        <v>1227</v>
      </c>
    </row>
    <row x14ac:dyDescent="0.25" r="407" customHeight="1" ht="18.75" hidden="1">
      <c r="A407" s="12" t="s">
        <v>1228</v>
      </c>
      <c r="B407" s="9">
        <v>45800</v>
      </c>
      <c r="C407" s="12" t="s">
        <v>2</v>
      </c>
      <c r="D407" s="12" t="s">
        <v>1229</v>
      </c>
      <c r="E407" s="12" t="s">
        <v>2</v>
      </c>
      <c r="F407" s="12" t="s">
        <v>1230</v>
      </c>
    </row>
    <row x14ac:dyDescent="0.25" r="408" customHeight="1" ht="18.75" hidden="1">
      <c r="A408" s="12" t="s">
        <v>1231</v>
      </c>
      <c r="B408" s="9">
        <v>45800</v>
      </c>
      <c r="C408" s="12" t="s">
        <v>3</v>
      </c>
      <c r="D408" s="12" t="s">
        <v>1232</v>
      </c>
      <c r="E408" s="12" t="s">
        <v>3</v>
      </c>
      <c r="F408" s="12" t="s">
        <v>1233</v>
      </c>
    </row>
    <row x14ac:dyDescent="0.25" r="409" customHeight="1" ht="18.75" hidden="1">
      <c r="A409" s="12" t="s">
        <v>1234</v>
      </c>
      <c r="B409" s="9">
        <v>45800</v>
      </c>
      <c r="C409" s="12" t="s">
        <v>3</v>
      </c>
      <c r="D409" s="12" t="s">
        <v>1235</v>
      </c>
      <c r="E409" s="12" t="s">
        <v>3</v>
      </c>
      <c r="F409" s="12" t="s">
        <v>1236</v>
      </c>
    </row>
    <row x14ac:dyDescent="0.25" r="410" customHeight="1" ht="18.75" hidden="1">
      <c r="A410" s="12" t="s">
        <v>1237</v>
      </c>
      <c r="B410" s="9">
        <v>45800</v>
      </c>
      <c r="C410" s="12" t="s">
        <v>2</v>
      </c>
      <c r="D410" s="12" t="s">
        <v>1238</v>
      </c>
      <c r="E410" s="12" t="s">
        <v>2</v>
      </c>
      <c r="F410" s="12" t="s">
        <v>1239</v>
      </c>
    </row>
    <row x14ac:dyDescent="0.25" r="411" customHeight="1" ht="18.75" hidden="1">
      <c r="A411" s="12" t="s">
        <v>1240</v>
      </c>
      <c r="B411" s="9">
        <v>45800</v>
      </c>
      <c r="C411" s="12" t="s">
        <v>2</v>
      </c>
      <c r="D411" s="12" t="s">
        <v>1241</v>
      </c>
      <c r="E411" s="12" t="s">
        <v>2</v>
      </c>
      <c r="F411" s="12" t="s">
        <v>1242</v>
      </c>
    </row>
    <row x14ac:dyDescent="0.25" r="412" customHeight="1" ht="18.75" hidden="1">
      <c r="A412" s="12" t="s">
        <v>1243</v>
      </c>
      <c r="B412" s="9">
        <v>45800</v>
      </c>
      <c r="C412" s="12" t="s">
        <v>3</v>
      </c>
      <c r="D412" s="12" t="s">
        <v>1244</v>
      </c>
      <c r="E412" s="12" t="s">
        <v>3</v>
      </c>
      <c r="F412" s="12" t="s">
        <v>1245</v>
      </c>
    </row>
    <row x14ac:dyDescent="0.25" r="413" customHeight="1" ht="18.75" hidden="1">
      <c r="A413" s="12" t="s">
        <v>1246</v>
      </c>
      <c r="B413" s="9">
        <v>45800</v>
      </c>
      <c r="C413" s="12" t="s">
        <v>2</v>
      </c>
      <c r="D413" s="12" t="s">
        <v>1247</v>
      </c>
      <c r="E413" s="12" t="s">
        <v>2</v>
      </c>
      <c r="F413" s="12" t="s">
        <v>1248</v>
      </c>
    </row>
    <row x14ac:dyDescent="0.25" r="414" customHeight="1" ht="18.75" hidden="1">
      <c r="A414" s="12" t="s">
        <v>1249</v>
      </c>
      <c r="B414" s="9">
        <v>45800</v>
      </c>
      <c r="C414" s="12" t="s">
        <v>3</v>
      </c>
      <c r="D414" s="12" t="s">
        <v>1250</v>
      </c>
      <c r="E414" s="12" t="s">
        <v>3</v>
      </c>
      <c r="F414" s="12" t="s">
        <v>1251</v>
      </c>
    </row>
    <row x14ac:dyDescent="0.25" r="415" customHeight="1" ht="18.75" hidden="1">
      <c r="A415" s="12" t="s">
        <v>1252</v>
      </c>
      <c r="B415" s="9">
        <v>45799</v>
      </c>
      <c r="C415" s="12" t="s">
        <v>3</v>
      </c>
      <c r="D415" s="12" t="s">
        <v>1253</v>
      </c>
      <c r="E415" s="12" t="s">
        <v>3</v>
      </c>
      <c r="F415" s="12" t="s">
        <v>1254</v>
      </c>
    </row>
    <row x14ac:dyDescent="0.25" r="416" customHeight="1" ht="18.75" hidden="1">
      <c r="A416" s="12" t="s">
        <v>1255</v>
      </c>
      <c r="B416" s="9">
        <v>45799</v>
      </c>
      <c r="C416" s="12" t="s">
        <v>2</v>
      </c>
      <c r="D416" s="12" t="s">
        <v>1256</v>
      </c>
      <c r="E416" s="12" t="s">
        <v>2</v>
      </c>
      <c r="F416" s="12" t="s">
        <v>1257</v>
      </c>
    </row>
    <row x14ac:dyDescent="0.25" r="417" customHeight="1" ht="18.75">
      <c r="A417" s="12" t="s">
        <v>1258</v>
      </c>
      <c r="B417" s="9">
        <v>45799</v>
      </c>
      <c r="C417" s="12" t="s">
        <v>101</v>
      </c>
      <c r="D417" s="12" t="s">
        <v>1259</v>
      </c>
      <c r="E417" s="12" t="s">
        <v>13</v>
      </c>
      <c r="F417" s="12" t="s">
        <v>1260</v>
      </c>
    </row>
    <row x14ac:dyDescent="0.25" r="418" customHeight="1" ht="18.75" hidden="1">
      <c r="A418" s="12" t="s">
        <v>1261</v>
      </c>
      <c r="B418" s="9">
        <v>45799</v>
      </c>
      <c r="C418" s="12" t="s">
        <v>3</v>
      </c>
      <c r="D418" s="12" t="s">
        <v>1262</v>
      </c>
      <c r="E418" s="12" t="s">
        <v>3</v>
      </c>
      <c r="F418" s="12" t="s">
        <v>1263</v>
      </c>
    </row>
    <row x14ac:dyDescent="0.25" r="419" customHeight="1" ht="18.75" hidden="1">
      <c r="A419" s="12" t="s">
        <v>1264</v>
      </c>
      <c r="B419" s="9">
        <v>45799</v>
      </c>
      <c r="C419" s="12" t="s">
        <v>2</v>
      </c>
      <c r="D419" s="12" t="s">
        <v>1265</v>
      </c>
      <c r="E419" s="12" t="s">
        <v>2</v>
      </c>
      <c r="F419" s="12" t="s">
        <v>1266</v>
      </c>
    </row>
    <row x14ac:dyDescent="0.25" r="420" customHeight="1" ht="18.75" hidden="1">
      <c r="A420" s="12" t="s">
        <v>1267</v>
      </c>
      <c r="B420" s="9">
        <v>45799</v>
      </c>
      <c r="C420" s="12" t="s">
        <v>3</v>
      </c>
      <c r="D420" s="12" t="s">
        <v>1268</v>
      </c>
      <c r="E420" s="12" t="s">
        <v>3</v>
      </c>
      <c r="F420" s="12" t="s">
        <v>1269</v>
      </c>
    </row>
    <row x14ac:dyDescent="0.25" r="421" customHeight="1" ht="18.75" hidden="1">
      <c r="A421" s="12" t="s">
        <v>1270</v>
      </c>
      <c r="B421" s="9">
        <v>45799</v>
      </c>
      <c r="C421" s="12" t="s">
        <v>2</v>
      </c>
      <c r="D421" s="12" t="s">
        <v>1271</v>
      </c>
      <c r="E421" s="12" t="s">
        <v>2</v>
      </c>
      <c r="F421" s="12" t="s">
        <v>1272</v>
      </c>
    </row>
    <row x14ac:dyDescent="0.25" r="422" customHeight="1" ht="18.75" hidden="1">
      <c r="A422" s="12" t="s">
        <v>1273</v>
      </c>
      <c r="B422" s="9">
        <v>45799</v>
      </c>
      <c r="C422" s="12" t="s">
        <v>3</v>
      </c>
      <c r="D422" s="12" t="s">
        <v>1274</v>
      </c>
      <c r="E422" s="12" t="s">
        <v>3</v>
      </c>
      <c r="F422" s="12" t="s">
        <v>1275</v>
      </c>
    </row>
    <row x14ac:dyDescent="0.25" r="423" customHeight="1" ht="18.75" hidden="1">
      <c r="A423" s="12" t="s">
        <v>1276</v>
      </c>
      <c r="B423" s="9">
        <v>45799</v>
      </c>
      <c r="C423" s="12" t="s">
        <v>3</v>
      </c>
      <c r="D423" s="12" t="s">
        <v>1277</v>
      </c>
      <c r="E423" s="12" t="s">
        <v>3</v>
      </c>
      <c r="F423" s="12" t="s">
        <v>1278</v>
      </c>
    </row>
    <row x14ac:dyDescent="0.25" r="424" customHeight="1" ht="18.75" hidden="1">
      <c r="A424" s="12" t="s">
        <v>1279</v>
      </c>
      <c r="B424" s="9">
        <v>45799</v>
      </c>
      <c r="C424" s="12" t="s">
        <v>3</v>
      </c>
      <c r="D424" s="12" t="s">
        <v>1280</v>
      </c>
      <c r="E424" s="12" t="s">
        <v>3</v>
      </c>
      <c r="F424" s="12" t="s">
        <v>1281</v>
      </c>
    </row>
    <row x14ac:dyDescent="0.25" r="425" customHeight="1" ht="18.75" hidden="1">
      <c r="A425" s="12" t="s">
        <v>1282</v>
      </c>
      <c r="B425" s="9">
        <v>45799</v>
      </c>
      <c r="C425" s="12" t="s">
        <v>3</v>
      </c>
      <c r="D425" s="12" t="s">
        <v>1283</v>
      </c>
      <c r="E425" s="12" t="s">
        <v>3</v>
      </c>
      <c r="F425" s="12" t="s">
        <v>1284</v>
      </c>
    </row>
    <row x14ac:dyDescent="0.25" r="426" customHeight="1" ht="18.75" hidden="1">
      <c r="A426" s="12" t="s">
        <v>1285</v>
      </c>
      <c r="B426" s="9">
        <v>45799</v>
      </c>
      <c r="C426" s="12" t="s">
        <v>3</v>
      </c>
      <c r="D426" s="12" t="s">
        <v>1286</v>
      </c>
      <c r="E426" s="12" t="s">
        <v>3</v>
      </c>
      <c r="F426" s="12" t="s">
        <v>1287</v>
      </c>
    </row>
    <row x14ac:dyDescent="0.25" r="427" customHeight="1" ht="18.75" hidden="1">
      <c r="A427" s="12" t="s">
        <v>1288</v>
      </c>
      <c r="B427" s="9">
        <v>45799</v>
      </c>
      <c r="C427" s="12" t="s">
        <v>3</v>
      </c>
      <c r="D427" s="12" t="s">
        <v>1289</v>
      </c>
      <c r="E427" s="12" t="s">
        <v>3</v>
      </c>
      <c r="F427" s="12" t="s">
        <v>1290</v>
      </c>
    </row>
    <row x14ac:dyDescent="0.25" r="428" customHeight="1" ht="18.75" hidden="1">
      <c r="A428" s="12" t="s">
        <v>1291</v>
      </c>
      <c r="B428" s="9">
        <v>45799</v>
      </c>
      <c r="C428" s="12" t="s">
        <v>3</v>
      </c>
      <c r="D428" s="12" t="s">
        <v>1292</v>
      </c>
      <c r="E428" s="12" t="s">
        <v>3</v>
      </c>
      <c r="F428" s="12" t="s">
        <v>1293</v>
      </c>
    </row>
    <row x14ac:dyDescent="0.25" r="429" customHeight="1" ht="18.75" hidden="1">
      <c r="A429" s="12" t="s">
        <v>1294</v>
      </c>
      <c r="B429" s="9">
        <v>45798</v>
      </c>
      <c r="C429" s="12" t="s">
        <v>3</v>
      </c>
      <c r="D429" s="12" t="s">
        <v>1295</v>
      </c>
      <c r="E429" s="12" t="s">
        <v>3</v>
      </c>
      <c r="F429" s="12" t="s">
        <v>1296</v>
      </c>
    </row>
    <row x14ac:dyDescent="0.25" r="430" customHeight="1" ht="18.75" hidden="1">
      <c r="A430" s="12" t="s">
        <v>1297</v>
      </c>
      <c r="B430" s="9">
        <v>45798</v>
      </c>
      <c r="C430" s="12" t="s">
        <v>3</v>
      </c>
      <c r="D430" s="12" t="s">
        <v>1298</v>
      </c>
      <c r="E430" s="12" t="s">
        <v>3</v>
      </c>
      <c r="F430" s="12" t="s">
        <v>1299</v>
      </c>
    </row>
    <row x14ac:dyDescent="0.25" r="431" customHeight="1" ht="18.75" hidden="1">
      <c r="A431" s="12" t="s">
        <v>1300</v>
      </c>
      <c r="B431" s="9">
        <v>45798</v>
      </c>
      <c r="C431" s="12" t="s">
        <v>2</v>
      </c>
      <c r="D431" s="12" t="s">
        <v>1301</v>
      </c>
      <c r="E431" s="12" t="s">
        <v>2</v>
      </c>
      <c r="F431" s="12" t="s">
        <v>1302</v>
      </c>
    </row>
    <row x14ac:dyDescent="0.25" r="432" customHeight="1" ht="18.75" hidden="1">
      <c r="A432" s="12" t="s">
        <v>1303</v>
      </c>
      <c r="B432" s="9">
        <v>45798</v>
      </c>
      <c r="C432" s="12" t="s">
        <v>3</v>
      </c>
      <c r="D432" s="12" t="s">
        <v>1304</v>
      </c>
      <c r="E432" s="12" t="s">
        <v>3</v>
      </c>
      <c r="F432" s="12" t="s">
        <v>1305</v>
      </c>
    </row>
    <row x14ac:dyDescent="0.25" r="433" customHeight="1" ht="18.75" hidden="1">
      <c r="A433" s="12" t="s">
        <v>1306</v>
      </c>
      <c r="B433" s="9">
        <v>45798</v>
      </c>
      <c r="C433" s="12" t="s">
        <v>3</v>
      </c>
      <c r="D433" s="12" t="s">
        <v>1307</v>
      </c>
      <c r="E433" s="12" t="s">
        <v>3</v>
      </c>
      <c r="F433" s="12" t="s">
        <v>1308</v>
      </c>
    </row>
    <row x14ac:dyDescent="0.25" r="434" customHeight="1" ht="18.75" hidden="1">
      <c r="A434" s="12" t="s">
        <v>1309</v>
      </c>
      <c r="B434" s="9">
        <v>45798</v>
      </c>
      <c r="C434" s="12" t="s">
        <v>3</v>
      </c>
      <c r="D434" s="12" t="s">
        <v>1310</v>
      </c>
      <c r="E434" s="12" t="s">
        <v>3</v>
      </c>
      <c r="F434" s="12" t="s">
        <v>1311</v>
      </c>
    </row>
    <row x14ac:dyDescent="0.25" r="435" customHeight="1" ht="18.75" hidden="1">
      <c r="A435" s="12" t="s">
        <v>1312</v>
      </c>
      <c r="B435" s="9">
        <v>45798</v>
      </c>
      <c r="C435" s="12" t="s">
        <v>3</v>
      </c>
      <c r="D435" s="12" t="s">
        <v>1313</v>
      </c>
      <c r="E435" s="12" t="s">
        <v>3</v>
      </c>
      <c r="F435" s="12" t="s">
        <v>1314</v>
      </c>
    </row>
    <row x14ac:dyDescent="0.25" r="436" customHeight="1" ht="18.75" hidden="1">
      <c r="A436" s="12" t="s">
        <v>1315</v>
      </c>
      <c r="B436" s="9">
        <v>45798</v>
      </c>
      <c r="C436" s="12" t="s">
        <v>3</v>
      </c>
      <c r="D436" s="12" t="s">
        <v>1316</v>
      </c>
      <c r="E436" s="12" t="s">
        <v>3</v>
      </c>
      <c r="F436" s="12" t="s">
        <v>1317</v>
      </c>
    </row>
    <row x14ac:dyDescent="0.25" r="437" customHeight="1" ht="18.75" hidden="1">
      <c r="A437" s="12" t="s">
        <v>1318</v>
      </c>
      <c r="B437" s="9">
        <v>45798</v>
      </c>
      <c r="C437" s="12" t="s">
        <v>2</v>
      </c>
      <c r="D437" s="12" t="s">
        <v>1319</v>
      </c>
      <c r="E437" s="12" t="s">
        <v>2</v>
      </c>
      <c r="F437" s="12" t="s">
        <v>1320</v>
      </c>
    </row>
    <row x14ac:dyDescent="0.25" r="438" customHeight="1" ht="18.75">
      <c r="A438" s="12" t="s">
        <v>1321</v>
      </c>
      <c r="B438" s="9">
        <v>45798</v>
      </c>
      <c r="C438" s="12" t="s">
        <v>3</v>
      </c>
      <c r="D438" s="12" t="s">
        <v>1322</v>
      </c>
      <c r="E438" s="12" t="s">
        <v>4</v>
      </c>
      <c r="F438" s="12" t="s">
        <v>1323</v>
      </c>
    </row>
    <row x14ac:dyDescent="0.25" r="439" customHeight="1" ht="18.75" hidden="1">
      <c r="A439" s="12" t="s">
        <v>1324</v>
      </c>
      <c r="B439" s="9">
        <v>45798</v>
      </c>
      <c r="C439" s="12" t="s">
        <v>2</v>
      </c>
      <c r="D439" s="12" t="s">
        <v>1325</v>
      </c>
      <c r="E439" s="12" t="s">
        <v>2</v>
      </c>
      <c r="F439" s="12" t="s">
        <v>1326</v>
      </c>
    </row>
    <row x14ac:dyDescent="0.25" r="440" customHeight="1" ht="18.75" hidden="1">
      <c r="A440" s="12" t="s">
        <v>1327</v>
      </c>
      <c r="B440" s="9">
        <v>45797</v>
      </c>
      <c r="C440" s="12" t="s">
        <v>2</v>
      </c>
      <c r="D440" s="12" t="s">
        <v>1328</v>
      </c>
      <c r="E440" s="12" t="s">
        <v>2</v>
      </c>
      <c r="F440" s="12" t="s">
        <v>1329</v>
      </c>
    </row>
    <row x14ac:dyDescent="0.25" r="441" customHeight="1" ht="18.75" hidden="1">
      <c r="A441" s="12" t="s">
        <v>1330</v>
      </c>
      <c r="B441" s="9">
        <v>45797</v>
      </c>
      <c r="C441" s="12" t="s">
        <v>3</v>
      </c>
      <c r="D441" s="12" t="s">
        <v>1331</v>
      </c>
      <c r="E441" s="12" t="s">
        <v>3</v>
      </c>
      <c r="F441" s="12" t="s">
        <v>1332</v>
      </c>
    </row>
    <row x14ac:dyDescent="0.25" r="442" customHeight="1" ht="18.75" hidden="1">
      <c r="A442" s="12" t="s">
        <v>1333</v>
      </c>
      <c r="B442" s="9">
        <v>45797</v>
      </c>
      <c r="C442" s="12" t="s">
        <v>3</v>
      </c>
      <c r="D442" s="12" t="s">
        <v>1334</v>
      </c>
      <c r="E442" s="12" t="s">
        <v>3</v>
      </c>
      <c r="F442" s="12" t="s">
        <v>1335</v>
      </c>
    </row>
    <row x14ac:dyDescent="0.25" r="443" customHeight="1" ht="18.75">
      <c r="A443" s="12" t="s">
        <v>1336</v>
      </c>
      <c r="B443" s="9">
        <v>45797</v>
      </c>
      <c r="C443" s="12" t="s">
        <v>101</v>
      </c>
      <c r="D443" s="12" t="s">
        <v>1337</v>
      </c>
      <c r="E443" s="12" t="s">
        <v>13</v>
      </c>
      <c r="F443" s="12" t="s">
        <v>1338</v>
      </c>
    </row>
    <row x14ac:dyDescent="0.25" r="444" customHeight="1" ht="18.75" hidden="1">
      <c r="A444" s="12" t="s">
        <v>1339</v>
      </c>
      <c r="B444" s="9">
        <v>45797</v>
      </c>
      <c r="C444" s="12" t="s">
        <v>3</v>
      </c>
      <c r="D444" s="12" t="s">
        <v>1340</v>
      </c>
      <c r="E444" s="12" t="s">
        <v>3</v>
      </c>
      <c r="F444" s="12" t="s">
        <v>1341</v>
      </c>
    </row>
    <row x14ac:dyDescent="0.25" r="445" customHeight="1" ht="18.75" hidden="1">
      <c r="A445" s="12" t="s">
        <v>1342</v>
      </c>
      <c r="B445" s="9">
        <v>45797</v>
      </c>
      <c r="C445" s="12" t="s">
        <v>2</v>
      </c>
      <c r="D445" s="12" t="s">
        <v>1343</v>
      </c>
      <c r="E445" s="12" t="s">
        <v>2</v>
      </c>
      <c r="F445" s="12" t="s">
        <v>1344</v>
      </c>
    </row>
    <row x14ac:dyDescent="0.25" r="446" customHeight="1" ht="18.75" hidden="1">
      <c r="A446" s="12" t="s">
        <v>1345</v>
      </c>
      <c r="B446" s="9">
        <v>45797</v>
      </c>
      <c r="C446" s="12" t="s">
        <v>3</v>
      </c>
      <c r="D446" s="12" t="s">
        <v>1346</v>
      </c>
      <c r="E446" s="12" t="s">
        <v>3</v>
      </c>
      <c r="F446" s="12" t="s">
        <v>1347</v>
      </c>
    </row>
    <row x14ac:dyDescent="0.25" r="447" customHeight="1" ht="18.75" hidden="1">
      <c r="A447" s="12" t="s">
        <v>1348</v>
      </c>
      <c r="B447" s="9">
        <v>45797</v>
      </c>
      <c r="C447" s="12" t="s">
        <v>3</v>
      </c>
      <c r="D447" s="12" t="s">
        <v>1349</v>
      </c>
      <c r="E447" s="12" t="s">
        <v>3</v>
      </c>
      <c r="F447" s="12" t="s">
        <v>1350</v>
      </c>
    </row>
    <row x14ac:dyDescent="0.25" r="448" customHeight="1" ht="18.75" hidden="1">
      <c r="A448" s="12" t="s">
        <v>1351</v>
      </c>
      <c r="B448" s="9">
        <v>45797</v>
      </c>
      <c r="C448" s="12" t="s">
        <v>3</v>
      </c>
      <c r="D448" s="12" t="s">
        <v>1352</v>
      </c>
      <c r="E448" s="12" t="s">
        <v>3</v>
      </c>
      <c r="F448" s="12" t="s">
        <v>1353</v>
      </c>
    </row>
    <row x14ac:dyDescent="0.25" r="449" customHeight="1" ht="18.75" hidden="1">
      <c r="A449" s="12" t="s">
        <v>1354</v>
      </c>
      <c r="B449" s="9">
        <v>45797</v>
      </c>
      <c r="C449" s="12" t="s">
        <v>2</v>
      </c>
      <c r="D449" s="12" t="s">
        <v>1355</v>
      </c>
      <c r="E449" s="12" t="s">
        <v>2</v>
      </c>
      <c r="F449" s="12" t="s">
        <v>1356</v>
      </c>
    </row>
    <row x14ac:dyDescent="0.25" r="450" customHeight="1" ht="18.75" hidden="1">
      <c r="A450" s="12" t="s">
        <v>1357</v>
      </c>
      <c r="B450" s="9">
        <v>45796</v>
      </c>
      <c r="C450" s="12" t="s">
        <v>3</v>
      </c>
      <c r="D450" s="12" t="s">
        <v>1358</v>
      </c>
      <c r="E450" s="12" t="s">
        <v>3</v>
      </c>
      <c r="F450" s="12" t="s">
        <v>1359</v>
      </c>
    </row>
    <row x14ac:dyDescent="0.25" r="451" customHeight="1" ht="18.75" hidden="1">
      <c r="A451" s="12" t="s">
        <v>1360</v>
      </c>
      <c r="B451" s="9">
        <v>45796</v>
      </c>
      <c r="C451" s="12" t="s">
        <v>3</v>
      </c>
      <c r="D451" s="12" t="s">
        <v>1361</v>
      </c>
      <c r="E451" s="12" t="s">
        <v>3</v>
      </c>
      <c r="F451" s="12" t="s">
        <v>1362</v>
      </c>
    </row>
    <row x14ac:dyDescent="0.25" r="452" customHeight="1" ht="18.75" hidden="1">
      <c r="A452" s="12" t="s">
        <v>1363</v>
      </c>
      <c r="B452" s="9">
        <v>45796</v>
      </c>
      <c r="C452" s="12" t="s">
        <v>2</v>
      </c>
      <c r="D452" s="12" t="s">
        <v>1364</v>
      </c>
      <c r="E452" s="12" t="s">
        <v>2</v>
      </c>
      <c r="F452" s="12" t="s">
        <v>1365</v>
      </c>
    </row>
    <row x14ac:dyDescent="0.25" r="453" customHeight="1" ht="18.75" hidden="1">
      <c r="A453" s="12" t="s">
        <v>1366</v>
      </c>
      <c r="B453" s="9">
        <v>45796</v>
      </c>
      <c r="C453" s="12" t="s">
        <v>3</v>
      </c>
      <c r="D453" s="12" t="s">
        <v>1367</v>
      </c>
      <c r="E453" s="12" t="s">
        <v>3</v>
      </c>
      <c r="F453" s="12" t="s">
        <v>1368</v>
      </c>
    </row>
    <row x14ac:dyDescent="0.25" r="454" customHeight="1" ht="18.75" hidden="1">
      <c r="A454" s="12" t="s">
        <v>1369</v>
      </c>
      <c r="B454" s="9">
        <v>45796</v>
      </c>
      <c r="C454" s="12" t="s">
        <v>3</v>
      </c>
      <c r="D454" s="12" t="s">
        <v>1370</v>
      </c>
      <c r="E454" s="12" t="s">
        <v>3</v>
      </c>
      <c r="F454" s="12" t="s">
        <v>1371</v>
      </c>
    </row>
    <row x14ac:dyDescent="0.25" r="455" customHeight="1" ht="18.75">
      <c r="A455" s="12" t="s">
        <v>1372</v>
      </c>
      <c r="B455" s="9">
        <v>45796</v>
      </c>
      <c r="C455" s="12" t="s">
        <v>101</v>
      </c>
      <c r="D455" s="12" t="s">
        <v>1373</v>
      </c>
      <c r="E455" s="12" t="s">
        <v>13</v>
      </c>
      <c r="F455" s="12" t="s">
        <v>1374</v>
      </c>
    </row>
    <row x14ac:dyDescent="0.25" r="456" customHeight="1" ht="18.75" hidden="1">
      <c r="A456" s="12" t="s">
        <v>1375</v>
      </c>
      <c r="B456" s="9">
        <v>45796</v>
      </c>
      <c r="C456" s="12" t="s">
        <v>3</v>
      </c>
      <c r="D456" s="12" t="s">
        <v>1376</v>
      </c>
      <c r="E456" s="12" t="s">
        <v>3</v>
      </c>
      <c r="F456" s="12" t="s">
        <v>1377</v>
      </c>
    </row>
    <row x14ac:dyDescent="0.25" r="457" customHeight="1" ht="18.75" hidden="1">
      <c r="A457" s="12" t="s">
        <v>1378</v>
      </c>
      <c r="B457" s="9">
        <v>45796</v>
      </c>
      <c r="C457" s="12" t="s">
        <v>3</v>
      </c>
      <c r="D457" s="12" t="s">
        <v>1379</v>
      </c>
      <c r="E457" s="12" t="s">
        <v>3</v>
      </c>
      <c r="F457" s="12" t="s">
        <v>1380</v>
      </c>
    </row>
    <row x14ac:dyDescent="0.25" r="458" customHeight="1" ht="18.75" hidden="1">
      <c r="A458" s="12" t="s">
        <v>1381</v>
      </c>
      <c r="B458" s="9">
        <v>45796</v>
      </c>
      <c r="C458" s="12" t="s">
        <v>2</v>
      </c>
      <c r="D458" s="12" t="s">
        <v>1382</v>
      </c>
      <c r="E458" s="12" t="s">
        <v>2</v>
      </c>
      <c r="F458" s="12" t="s">
        <v>1383</v>
      </c>
    </row>
    <row x14ac:dyDescent="0.25" r="459" customHeight="1" ht="18.75" hidden="1">
      <c r="A459" s="12" t="s">
        <v>1384</v>
      </c>
      <c r="B459" s="9">
        <v>45795</v>
      </c>
      <c r="C459" s="12" t="s">
        <v>2</v>
      </c>
      <c r="D459" s="12" t="s">
        <v>1385</v>
      </c>
      <c r="E459" s="12" t="s">
        <v>3</v>
      </c>
      <c r="F459" s="12" t="s">
        <v>1386</v>
      </c>
    </row>
    <row x14ac:dyDescent="0.25" r="460" customHeight="1" ht="18.75" hidden="1">
      <c r="A460" s="12" t="s">
        <v>1387</v>
      </c>
      <c r="B460" s="9">
        <v>45795</v>
      </c>
      <c r="C460" s="12" t="s">
        <v>3</v>
      </c>
      <c r="D460" s="12" t="s">
        <v>1388</v>
      </c>
      <c r="E460" s="12" t="s">
        <v>3</v>
      </c>
      <c r="F460" s="12" t="s">
        <v>1389</v>
      </c>
    </row>
    <row x14ac:dyDescent="0.25" r="461" customHeight="1" ht="18.75" hidden="1">
      <c r="A461" s="12" t="s">
        <v>1390</v>
      </c>
      <c r="B461" s="9">
        <v>45794</v>
      </c>
      <c r="C461" s="12" t="s">
        <v>2</v>
      </c>
      <c r="D461" s="12" t="s">
        <v>1391</v>
      </c>
      <c r="E461" s="12" t="s">
        <v>2</v>
      </c>
      <c r="F461" s="12" t="s">
        <v>1392</v>
      </c>
    </row>
    <row x14ac:dyDescent="0.25" r="462" customHeight="1" ht="18.75" hidden="1">
      <c r="A462" s="12" t="s">
        <v>1393</v>
      </c>
      <c r="B462" s="9">
        <v>45794</v>
      </c>
      <c r="C462" s="12" t="s">
        <v>2</v>
      </c>
      <c r="D462" s="12" t="s">
        <v>1394</v>
      </c>
      <c r="E462" s="12" t="s">
        <v>2</v>
      </c>
      <c r="F462" s="12" t="s">
        <v>1395</v>
      </c>
    </row>
    <row x14ac:dyDescent="0.25" r="463" customHeight="1" ht="18.75" hidden="1">
      <c r="A463" s="12" t="s">
        <v>1396</v>
      </c>
      <c r="B463" s="9">
        <v>45794</v>
      </c>
      <c r="C463" s="12" t="s">
        <v>3</v>
      </c>
      <c r="D463" s="12" t="s">
        <v>1397</v>
      </c>
      <c r="E463" s="12" t="s">
        <v>3</v>
      </c>
      <c r="F463" s="12" t="s">
        <v>1398</v>
      </c>
    </row>
    <row x14ac:dyDescent="0.25" r="464" customHeight="1" ht="18.75" hidden="1">
      <c r="A464" s="12" t="s">
        <v>1399</v>
      </c>
      <c r="B464" s="9">
        <v>45794</v>
      </c>
      <c r="C464" s="12" t="s">
        <v>3</v>
      </c>
      <c r="D464" s="12" t="s">
        <v>1400</v>
      </c>
      <c r="E464" s="12" t="s">
        <v>3</v>
      </c>
      <c r="F464" s="12" t="s">
        <v>1401</v>
      </c>
    </row>
    <row x14ac:dyDescent="0.25" r="465" customHeight="1" ht="18.75">
      <c r="A465" s="12" t="s">
        <v>1402</v>
      </c>
      <c r="B465" s="9">
        <v>45794</v>
      </c>
      <c r="C465" s="12" t="s">
        <v>13</v>
      </c>
      <c r="D465" s="12" t="s">
        <v>1403</v>
      </c>
      <c r="E465" s="12" t="s">
        <v>13</v>
      </c>
      <c r="F465" s="12" t="s">
        <v>1404</v>
      </c>
    </row>
    <row x14ac:dyDescent="0.25" r="466" customHeight="1" ht="18.75" hidden="1">
      <c r="A466" s="12" t="s">
        <v>1405</v>
      </c>
      <c r="B466" s="9">
        <v>45794</v>
      </c>
      <c r="C466" s="12" t="s">
        <v>3</v>
      </c>
      <c r="D466" s="12" t="s">
        <v>1406</v>
      </c>
      <c r="E466" s="12" t="s">
        <v>3</v>
      </c>
      <c r="F466" s="12" t="s">
        <v>1407</v>
      </c>
    </row>
    <row x14ac:dyDescent="0.25" r="467" customHeight="1" ht="18.75" hidden="1">
      <c r="A467" s="12" t="s">
        <v>1408</v>
      </c>
      <c r="B467" s="9">
        <v>45793</v>
      </c>
      <c r="C467" s="12" t="s">
        <v>3</v>
      </c>
      <c r="D467" s="12" t="s">
        <v>1409</v>
      </c>
      <c r="E467" s="12" t="s">
        <v>3</v>
      </c>
      <c r="F467" s="12" t="s">
        <v>1410</v>
      </c>
    </row>
    <row x14ac:dyDescent="0.25" r="468" customHeight="1" ht="18.75" hidden="1">
      <c r="A468" s="12" t="s">
        <v>1411</v>
      </c>
      <c r="B468" s="9">
        <v>45793</v>
      </c>
      <c r="C468" s="12" t="s">
        <v>3</v>
      </c>
      <c r="D468" s="12" t="s">
        <v>1412</v>
      </c>
      <c r="E468" s="12" t="s">
        <v>3</v>
      </c>
      <c r="F468" s="12" t="s">
        <v>1413</v>
      </c>
    </row>
    <row x14ac:dyDescent="0.25" r="469" customHeight="1" ht="18.75" hidden="1">
      <c r="A469" s="12" t="s">
        <v>1414</v>
      </c>
      <c r="B469" s="9">
        <v>45793</v>
      </c>
      <c r="C469" s="12" t="s">
        <v>2</v>
      </c>
      <c r="D469" s="12" t="s">
        <v>1415</v>
      </c>
      <c r="E469" s="12" t="s">
        <v>2</v>
      </c>
      <c r="F469" s="12" t="s">
        <v>1416</v>
      </c>
    </row>
    <row x14ac:dyDescent="0.25" r="470" customHeight="1" ht="18.75" hidden="1">
      <c r="A470" s="12" t="s">
        <v>1417</v>
      </c>
      <c r="B470" s="9">
        <v>45793</v>
      </c>
      <c r="C470" s="12" t="s">
        <v>3</v>
      </c>
      <c r="D470" s="12" t="s">
        <v>1418</v>
      </c>
      <c r="E470" s="12" t="s">
        <v>3</v>
      </c>
      <c r="F470" s="12" t="s">
        <v>1419</v>
      </c>
    </row>
    <row x14ac:dyDescent="0.25" r="471" customHeight="1" ht="18.75">
      <c r="A471" s="12" t="s">
        <v>1420</v>
      </c>
      <c r="B471" s="9">
        <v>45793</v>
      </c>
      <c r="C471" s="12" t="s">
        <v>101</v>
      </c>
      <c r="D471" s="12" t="s">
        <v>1421</v>
      </c>
      <c r="E471" s="12" t="s">
        <v>13</v>
      </c>
      <c r="F471" s="12" t="s">
        <v>1422</v>
      </c>
    </row>
    <row x14ac:dyDescent="0.25" r="472" customHeight="1" ht="18.75" hidden="1">
      <c r="A472" s="12" t="s">
        <v>1423</v>
      </c>
      <c r="B472" s="9">
        <v>45793</v>
      </c>
      <c r="C472" s="12" t="s">
        <v>3</v>
      </c>
      <c r="D472" s="12" t="s">
        <v>1424</v>
      </c>
      <c r="E472" s="12" t="s">
        <v>3</v>
      </c>
      <c r="F472" s="12" t="s">
        <v>1425</v>
      </c>
    </row>
    <row x14ac:dyDescent="0.25" r="473" customHeight="1" ht="18.75" hidden="1">
      <c r="A473" s="12" t="s">
        <v>1426</v>
      </c>
      <c r="B473" s="9">
        <v>45793</v>
      </c>
      <c r="C473" s="12" t="s">
        <v>2</v>
      </c>
      <c r="D473" s="12" t="s">
        <v>1427</v>
      </c>
      <c r="E473" s="12" t="s">
        <v>2</v>
      </c>
      <c r="F473" s="12" t="s">
        <v>1428</v>
      </c>
    </row>
    <row x14ac:dyDescent="0.25" r="474" customHeight="1" ht="18.75" hidden="1">
      <c r="A474" s="12" t="s">
        <v>1429</v>
      </c>
      <c r="B474" s="9">
        <v>45793</v>
      </c>
      <c r="C474" s="12" t="s">
        <v>3</v>
      </c>
      <c r="D474" s="12" t="s">
        <v>1430</v>
      </c>
      <c r="E474" s="12" t="s">
        <v>3</v>
      </c>
      <c r="F474" s="12" t="s">
        <v>1431</v>
      </c>
    </row>
    <row x14ac:dyDescent="0.25" r="475" customHeight="1" ht="18.75" hidden="1">
      <c r="A475" s="12" t="s">
        <v>1432</v>
      </c>
      <c r="B475" s="9">
        <v>45793</v>
      </c>
      <c r="C475" s="12" t="s">
        <v>3</v>
      </c>
      <c r="D475" s="12" t="s">
        <v>1433</v>
      </c>
      <c r="E475" s="12" t="s">
        <v>3</v>
      </c>
      <c r="F475" s="12" t="s">
        <v>1434</v>
      </c>
    </row>
    <row x14ac:dyDescent="0.25" r="476" customHeight="1" ht="18.75" hidden="1">
      <c r="A476" s="12" t="s">
        <v>1435</v>
      </c>
      <c r="B476" s="9">
        <v>45793</v>
      </c>
      <c r="C476" s="12" t="s">
        <v>3</v>
      </c>
      <c r="D476" s="12" t="s">
        <v>1436</v>
      </c>
      <c r="E476" s="12" t="s">
        <v>3</v>
      </c>
      <c r="F476" s="12" t="s">
        <v>1437</v>
      </c>
    </row>
    <row x14ac:dyDescent="0.25" r="477" customHeight="1" ht="18.75" hidden="1">
      <c r="A477" s="12" t="s">
        <v>1438</v>
      </c>
      <c r="B477" s="9">
        <v>45793</v>
      </c>
      <c r="C477" s="12" t="s">
        <v>2</v>
      </c>
      <c r="D477" s="12" t="s">
        <v>1439</v>
      </c>
      <c r="E477" s="12" t="s">
        <v>2</v>
      </c>
      <c r="F477" s="12" t="s">
        <v>1440</v>
      </c>
    </row>
    <row x14ac:dyDescent="0.25" r="478" customHeight="1" ht="18.75" hidden="1">
      <c r="A478" s="12" t="s">
        <v>1441</v>
      </c>
      <c r="B478" s="9">
        <v>45792</v>
      </c>
      <c r="C478" s="12" t="s">
        <v>3</v>
      </c>
      <c r="D478" s="12" t="s">
        <v>1442</v>
      </c>
      <c r="E478" s="12" t="s">
        <v>3</v>
      </c>
      <c r="F478" s="12" t="s">
        <v>1443</v>
      </c>
    </row>
    <row x14ac:dyDescent="0.25" r="479" customHeight="1" ht="18.75" hidden="1">
      <c r="A479" s="12" t="s">
        <v>1444</v>
      </c>
      <c r="B479" s="9">
        <v>45792</v>
      </c>
      <c r="C479" s="12" t="s">
        <v>3</v>
      </c>
      <c r="D479" s="12" t="s">
        <v>1445</v>
      </c>
      <c r="E479" s="12" t="s">
        <v>3</v>
      </c>
      <c r="F479" s="12" t="s">
        <v>1446</v>
      </c>
    </row>
    <row x14ac:dyDescent="0.25" r="480" customHeight="1" ht="18.75" hidden="1">
      <c r="A480" s="12" t="s">
        <v>1447</v>
      </c>
      <c r="B480" s="9">
        <v>45792</v>
      </c>
      <c r="C480" s="12" t="s">
        <v>3</v>
      </c>
      <c r="D480" s="12" t="s">
        <v>1448</v>
      </c>
      <c r="E480" s="12" t="s">
        <v>3</v>
      </c>
      <c r="F480" s="12" t="s">
        <v>1449</v>
      </c>
    </row>
    <row x14ac:dyDescent="0.25" r="481" customHeight="1" ht="18.75" hidden="1">
      <c r="A481" s="12" t="s">
        <v>1450</v>
      </c>
      <c r="B481" s="9">
        <v>45792</v>
      </c>
      <c r="C481" s="12" t="s">
        <v>3</v>
      </c>
      <c r="D481" s="12" t="s">
        <v>1451</v>
      </c>
      <c r="E481" s="12" t="s">
        <v>3</v>
      </c>
      <c r="F481" s="12" t="s">
        <v>1452</v>
      </c>
    </row>
    <row x14ac:dyDescent="0.25" r="482" customHeight="1" ht="18.75" hidden="1">
      <c r="A482" s="12" t="s">
        <v>1453</v>
      </c>
      <c r="B482" s="9">
        <v>45792</v>
      </c>
      <c r="C482" s="12" t="s">
        <v>3</v>
      </c>
      <c r="D482" s="12" t="s">
        <v>1454</v>
      </c>
      <c r="E482" s="12" t="s">
        <v>3</v>
      </c>
      <c r="F482" s="12" t="s">
        <v>1455</v>
      </c>
    </row>
    <row x14ac:dyDescent="0.25" r="483" customHeight="1" ht="18.75" hidden="1">
      <c r="A483" s="12" t="s">
        <v>1456</v>
      </c>
      <c r="B483" s="9">
        <v>45792</v>
      </c>
      <c r="C483" s="12" t="s">
        <v>2</v>
      </c>
      <c r="D483" s="12" t="s">
        <v>1457</v>
      </c>
      <c r="E483" s="12" t="s">
        <v>2</v>
      </c>
      <c r="F483" s="12" t="s">
        <v>1458</v>
      </c>
    </row>
    <row x14ac:dyDescent="0.25" r="484" customHeight="1" ht="18.75">
      <c r="A484" s="12" t="s">
        <v>1459</v>
      </c>
      <c r="B484" s="9">
        <v>45792</v>
      </c>
      <c r="C484" s="12" t="s">
        <v>101</v>
      </c>
      <c r="D484" s="12" t="s">
        <v>1460</v>
      </c>
      <c r="E484" s="12" t="s">
        <v>13</v>
      </c>
      <c r="F484" s="12" t="s">
        <v>1461</v>
      </c>
    </row>
    <row x14ac:dyDescent="0.25" r="485" customHeight="1" ht="18.75" hidden="1">
      <c r="A485" s="12" t="s">
        <v>1462</v>
      </c>
      <c r="B485" s="9">
        <v>45791</v>
      </c>
      <c r="C485" s="12" t="s">
        <v>3</v>
      </c>
      <c r="D485" s="12" t="s">
        <v>1463</v>
      </c>
      <c r="E485" s="12" t="s">
        <v>3</v>
      </c>
      <c r="F485" s="12" t="s">
        <v>1464</v>
      </c>
    </row>
    <row x14ac:dyDescent="0.25" r="486" customHeight="1" ht="18.75" hidden="1">
      <c r="A486" s="12" t="s">
        <v>1465</v>
      </c>
      <c r="B486" s="9">
        <v>45791</v>
      </c>
      <c r="C486" s="12" t="s">
        <v>2</v>
      </c>
      <c r="D486" s="12" t="s">
        <v>1466</v>
      </c>
      <c r="E486" s="12" t="s">
        <v>2</v>
      </c>
      <c r="F486" s="12" t="s">
        <v>1467</v>
      </c>
    </row>
    <row x14ac:dyDescent="0.25" r="487" customHeight="1" ht="18.75" hidden="1">
      <c r="A487" s="12" t="s">
        <v>1468</v>
      </c>
      <c r="B487" s="9">
        <v>45791</v>
      </c>
      <c r="C487" s="12" t="s">
        <v>2</v>
      </c>
      <c r="D487" s="12" t="s">
        <v>1469</v>
      </c>
      <c r="E487" s="12" t="s">
        <v>2</v>
      </c>
      <c r="F487" s="12" t="s">
        <v>1470</v>
      </c>
    </row>
    <row x14ac:dyDescent="0.25" r="488" customHeight="1" ht="18.75" hidden="1">
      <c r="A488" s="12" t="s">
        <v>1471</v>
      </c>
      <c r="B488" s="9">
        <v>45791</v>
      </c>
      <c r="C488" s="12" t="s">
        <v>3</v>
      </c>
      <c r="D488" s="12" t="s">
        <v>1472</v>
      </c>
      <c r="E488" s="12" t="s">
        <v>3</v>
      </c>
      <c r="F488" s="12" t="s">
        <v>1473</v>
      </c>
    </row>
    <row x14ac:dyDescent="0.25" r="489" customHeight="1" ht="18.75" hidden="1">
      <c r="A489" s="12" t="s">
        <v>1474</v>
      </c>
      <c r="B489" s="9">
        <v>45791</v>
      </c>
      <c r="C489" s="12" t="s">
        <v>3</v>
      </c>
      <c r="D489" s="12" t="s">
        <v>1475</v>
      </c>
      <c r="E489" s="12" t="s">
        <v>3</v>
      </c>
      <c r="F489" s="12" t="s">
        <v>1476</v>
      </c>
    </row>
    <row x14ac:dyDescent="0.25" r="490" customHeight="1" ht="18.75" hidden="1">
      <c r="A490" s="12" t="s">
        <v>1477</v>
      </c>
      <c r="B490" s="9">
        <v>45791</v>
      </c>
      <c r="C490" s="12" t="s">
        <v>2</v>
      </c>
      <c r="D490" s="12" t="s">
        <v>1478</v>
      </c>
      <c r="E490" s="12" t="s">
        <v>2</v>
      </c>
      <c r="F490" s="12" t="s">
        <v>1479</v>
      </c>
    </row>
    <row x14ac:dyDescent="0.25" r="491" customHeight="1" ht="18.75" hidden="1">
      <c r="A491" s="12" t="s">
        <v>1480</v>
      </c>
      <c r="B491" s="9">
        <v>45790</v>
      </c>
      <c r="C491" s="12" t="s">
        <v>3</v>
      </c>
      <c r="D491" s="12" t="s">
        <v>1481</v>
      </c>
      <c r="E491" s="12" t="s">
        <v>3</v>
      </c>
      <c r="F491" s="12" t="s">
        <v>1482</v>
      </c>
    </row>
    <row x14ac:dyDescent="0.25" r="492" customHeight="1" ht="18.75" hidden="1">
      <c r="A492" s="12" t="s">
        <v>1483</v>
      </c>
      <c r="B492" s="9">
        <v>45790</v>
      </c>
      <c r="C492" s="12" t="s">
        <v>2</v>
      </c>
      <c r="D492" s="12" t="s">
        <v>1484</v>
      </c>
      <c r="E492" s="12" t="s">
        <v>2</v>
      </c>
      <c r="F492" s="12" t="s">
        <v>1485</v>
      </c>
    </row>
    <row x14ac:dyDescent="0.25" r="493" customHeight="1" ht="18.75">
      <c r="A493" s="12" t="s">
        <v>1486</v>
      </c>
      <c r="B493" s="9">
        <v>45790</v>
      </c>
      <c r="C493" s="12" t="s">
        <v>101</v>
      </c>
      <c r="D493" s="12" t="s">
        <v>1487</v>
      </c>
      <c r="E493" s="12" t="s">
        <v>4</v>
      </c>
      <c r="F493" s="12" t="s">
        <v>1488</v>
      </c>
    </row>
    <row x14ac:dyDescent="0.25" r="494" customHeight="1" ht="18.75" hidden="1">
      <c r="A494" s="12" t="s">
        <v>1489</v>
      </c>
      <c r="B494" s="9">
        <v>45790</v>
      </c>
      <c r="C494" s="12" t="s">
        <v>2</v>
      </c>
      <c r="D494" s="12" t="s">
        <v>1490</v>
      </c>
      <c r="E494" s="12" t="s">
        <v>2</v>
      </c>
      <c r="F494" s="12" t="s">
        <v>1491</v>
      </c>
    </row>
    <row x14ac:dyDescent="0.25" r="495" customHeight="1" ht="18.75" hidden="1">
      <c r="A495" s="12" t="s">
        <v>1492</v>
      </c>
      <c r="B495" s="9">
        <v>45790</v>
      </c>
      <c r="C495" s="12" t="s">
        <v>2</v>
      </c>
      <c r="D495" s="12" t="s">
        <v>1493</v>
      </c>
      <c r="E495" s="12" t="s">
        <v>2</v>
      </c>
      <c r="F495" s="12" t="s">
        <v>1494</v>
      </c>
    </row>
    <row x14ac:dyDescent="0.25" r="496" customHeight="1" ht="18.75" hidden="1">
      <c r="A496" s="12" t="s">
        <v>1495</v>
      </c>
      <c r="B496" s="9">
        <v>45789</v>
      </c>
      <c r="C496" s="12" t="s">
        <v>2</v>
      </c>
      <c r="D496" s="12" t="s">
        <v>1496</v>
      </c>
      <c r="E496" s="12" t="s">
        <v>2</v>
      </c>
      <c r="F496" s="12" t="s">
        <v>1497</v>
      </c>
    </row>
    <row x14ac:dyDescent="0.25" r="497" customHeight="1" ht="18.75" hidden="1">
      <c r="A497" s="12" t="s">
        <v>1498</v>
      </c>
      <c r="B497" s="9">
        <v>45789</v>
      </c>
      <c r="C497" s="12" t="s">
        <v>2</v>
      </c>
      <c r="D497" s="12" t="s">
        <v>1499</v>
      </c>
      <c r="E497" s="12" t="s">
        <v>2</v>
      </c>
      <c r="F497" s="12" t="s">
        <v>1500</v>
      </c>
    </row>
    <row x14ac:dyDescent="0.25" r="498" customHeight="1" ht="18.75" hidden="1">
      <c r="A498" s="12" t="s">
        <v>1501</v>
      </c>
      <c r="B498" s="9">
        <v>45789</v>
      </c>
      <c r="C498" s="12" t="s">
        <v>2</v>
      </c>
      <c r="D498" s="12" t="s">
        <v>1502</v>
      </c>
      <c r="E498" s="12" t="s">
        <v>2</v>
      </c>
      <c r="F498" s="12" t="s">
        <v>1503</v>
      </c>
    </row>
    <row x14ac:dyDescent="0.25" r="499" customHeight="1" ht="18.75" hidden="1">
      <c r="A499" s="12" t="s">
        <v>1504</v>
      </c>
      <c r="B499" s="9">
        <v>45789</v>
      </c>
      <c r="C499" s="12" t="s">
        <v>2</v>
      </c>
      <c r="D499" s="12" t="s">
        <v>1505</v>
      </c>
      <c r="E499" s="12" t="s">
        <v>2</v>
      </c>
      <c r="F499" s="12" t="s">
        <v>1506</v>
      </c>
    </row>
    <row x14ac:dyDescent="0.25" r="500" customHeight="1" ht="18.75" hidden="1">
      <c r="A500" s="12" t="s">
        <v>1507</v>
      </c>
      <c r="B500" s="9">
        <v>45789</v>
      </c>
      <c r="C500" s="12" t="s">
        <v>3</v>
      </c>
      <c r="D500" s="12" t="s">
        <v>1508</v>
      </c>
      <c r="E500" s="12" t="s">
        <v>3</v>
      </c>
      <c r="F500" s="12" t="s">
        <v>1509</v>
      </c>
    </row>
    <row x14ac:dyDescent="0.25" r="501" customHeight="1" ht="18.75" hidden="1">
      <c r="A501" s="12" t="s">
        <v>1510</v>
      </c>
      <c r="B501" s="9">
        <v>45789</v>
      </c>
      <c r="C501" s="12" t="s">
        <v>3</v>
      </c>
      <c r="D501" s="12" t="s">
        <v>1511</v>
      </c>
      <c r="E501" s="12" t="s">
        <v>3</v>
      </c>
      <c r="F501" s="12" t="s">
        <v>1512</v>
      </c>
    </row>
    <row x14ac:dyDescent="0.25" r="502" customHeight="1" ht="18.75" hidden="1">
      <c r="A502" s="12" t="s">
        <v>1513</v>
      </c>
      <c r="B502" s="9">
        <v>45789</v>
      </c>
      <c r="C502" s="12" t="s">
        <v>2</v>
      </c>
      <c r="D502" s="12" t="s">
        <v>1514</v>
      </c>
      <c r="E502" s="12" t="s">
        <v>2</v>
      </c>
      <c r="F502" s="12" t="s">
        <v>1515</v>
      </c>
    </row>
    <row x14ac:dyDescent="0.25" r="503" customHeight="1" ht="18.75" hidden="1">
      <c r="A503" s="12" t="s">
        <v>1516</v>
      </c>
      <c r="B503" s="9">
        <v>45788</v>
      </c>
      <c r="C503" s="12" t="s">
        <v>3</v>
      </c>
      <c r="D503" s="12" t="s">
        <v>1517</v>
      </c>
      <c r="E503" s="12" t="s">
        <v>3</v>
      </c>
      <c r="F503" s="12" t="s">
        <v>1518</v>
      </c>
    </row>
    <row x14ac:dyDescent="0.25" r="504" customHeight="1" ht="18.75" hidden="1">
      <c r="A504" s="12" t="s">
        <v>1519</v>
      </c>
      <c r="B504" s="9">
        <v>45787</v>
      </c>
      <c r="C504" s="12" t="s">
        <v>2</v>
      </c>
      <c r="D504" s="12" t="s">
        <v>1520</v>
      </c>
      <c r="E504" s="12" t="s">
        <v>2</v>
      </c>
      <c r="F504" s="12" t="s">
        <v>1521</v>
      </c>
    </row>
    <row x14ac:dyDescent="0.25" r="505" customHeight="1" ht="18.75" hidden="1">
      <c r="A505" s="12" t="s">
        <v>1522</v>
      </c>
      <c r="B505" s="9">
        <v>45787</v>
      </c>
      <c r="C505" s="12" t="s">
        <v>2</v>
      </c>
      <c r="D505" s="12" t="s">
        <v>1523</v>
      </c>
      <c r="E505" s="12" t="s">
        <v>2</v>
      </c>
      <c r="F505" s="12" t="s">
        <v>1524</v>
      </c>
    </row>
    <row x14ac:dyDescent="0.25" r="506" customHeight="1" ht="18.75" hidden="1">
      <c r="A506" s="12" t="s">
        <v>1525</v>
      </c>
      <c r="B506" s="9">
        <v>45786</v>
      </c>
      <c r="C506" s="12" t="s">
        <v>2</v>
      </c>
      <c r="D506" s="12" t="s">
        <v>1526</v>
      </c>
      <c r="E506" s="12" t="s">
        <v>2</v>
      </c>
      <c r="F506" s="12" t="s">
        <v>1527</v>
      </c>
    </row>
    <row x14ac:dyDescent="0.25" r="507" customHeight="1" ht="18.75" hidden="1">
      <c r="A507" s="12" t="s">
        <v>1528</v>
      </c>
      <c r="B507" s="9">
        <v>45786</v>
      </c>
      <c r="C507" s="12" t="s">
        <v>2</v>
      </c>
      <c r="D507" s="12" t="s">
        <v>1529</v>
      </c>
      <c r="E507" s="12" t="s">
        <v>2</v>
      </c>
      <c r="F507" s="12" t="s">
        <v>1530</v>
      </c>
    </row>
    <row x14ac:dyDescent="0.25" r="508" customHeight="1" ht="18.75" hidden="1">
      <c r="A508" s="12" t="s">
        <v>1531</v>
      </c>
      <c r="B508" s="9">
        <v>45786</v>
      </c>
      <c r="C508" s="12" t="s">
        <v>2</v>
      </c>
      <c r="D508" s="12" t="s">
        <v>1532</v>
      </c>
      <c r="E508" s="12" t="s">
        <v>2</v>
      </c>
      <c r="F508" s="12" t="s">
        <v>1533</v>
      </c>
    </row>
    <row x14ac:dyDescent="0.25" r="509" customHeight="1" ht="18.75" hidden="1">
      <c r="A509" s="12" t="s">
        <v>1534</v>
      </c>
      <c r="B509" s="9">
        <v>45786</v>
      </c>
      <c r="C509" s="12" t="s">
        <v>2</v>
      </c>
      <c r="D509" s="12" t="s">
        <v>1535</v>
      </c>
      <c r="E509" s="12" t="s">
        <v>2</v>
      </c>
      <c r="F509" s="12" t="s">
        <v>1536</v>
      </c>
    </row>
    <row x14ac:dyDescent="0.25" r="510" customHeight="1" ht="18.75" hidden="1">
      <c r="A510" s="12" t="s">
        <v>1537</v>
      </c>
      <c r="B510" s="9">
        <v>45785</v>
      </c>
      <c r="C510" s="12" t="s">
        <v>2</v>
      </c>
      <c r="D510" s="12" t="s">
        <v>1538</v>
      </c>
      <c r="E510" s="12" t="s">
        <v>2</v>
      </c>
      <c r="F510" s="12" t="s">
        <v>1539</v>
      </c>
    </row>
    <row x14ac:dyDescent="0.25" r="511" customHeight="1" ht="18.75" hidden="1">
      <c r="A511" s="12" t="s">
        <v>1540</v>
      </c>
      <c r="B511" s="9">
        <v>45785</v>
      </c>
      <c r="C511" s="12" t="s">
        <v>2</v>
      </c>
      <c r="D511" s="12" t="s">
        <v>1541</v>
      </c>
      <c r="E511" s="12" t="s">
        <v>2</v>
      </c>
      <c r="F511" s="12" t="s">
        <v>1542</v>
      </c>
    </row>
    <row x14ac:dyDescent="0.25" r="512" customHeight="1" ht="18.75" hidden="1">
      <c r="A512" s="12" t="s">
        <v>1543</v>
      </c>
      <c r="B512" s="9">
        <v>45785</v>
      </c>
      <c r="C512" s="12" t="s">
        <v>2</v>
      </c>
      <c r="D512" s="12" t="s">
        <v>1544</v>
      </c>
      <c r="E512" s="12" t="s">
        <v>2</v>
      </c>
      <c r="F512" s="12" t="s">
        <v>1545</v>
      </c>
    </row>
    <row x14ac:dyDescent="0.25" r="513" customHeight="1" ht="18.75" hidden="1">
      <c r="A513" s="12" t="s">
        <v>1546</v>
      </c>
      <c r="B513" s="9">
        <v>45785</v>
      </c>
      <c r="C513" s="12" t="s">
        <v>3</v>
      </c>
      <c r="D513" s="12" t="s">
        <v>1547</v>
      </c>
      <c r="E513" s="12" t="s">
        <v>3</v>
      </c>
      <c r="F513" s="12" t="s">
        <v>1548</v>
      </c>
    </row>
    <row x14ac:dyDescent="0.25" r="514" customHeight="1" ht="18.75" hidden="1">
      <c r="A514" s="12" t="s">
        <v>1549</v>
      </c>
      <c r="B514" s="9">
        <v>45785</v>
      </c>
      <c r="C514" s="12" t="s">
        <v>3</v>
      </c>
      <c r="D514" s="12" t="s">
        <v>1550</v>
      </c>
      <c r="E514" s="12" t="s">
        <v>3</v>
      </c>
      <c r="F514" s="12" t="s">
        <v>1551</v>
      </c>
    </row>
    <row x14ac:dyDescent="0.25" r="515" customHeight="1" ht="18.75" hidden="1">
      <c r="A515" s="12" t="s">
        <v>1552</v>
      </c>
      <c r="B515" s="9">
        <v>45785</v>
      </c>
      <c r="C515" s="12" t="s">
        <v>3</v>
      </c>
      <c r="D515" s="12" t="s">
        <v>1553</v>
      </c>
      <c r="E515" s="12" t="s">
        <v>3</v>
      </c>
      <c r="F515" s="12" t="s">
        <v>1554</v>
      </c>
    </row>
    <row x14ac:dyDescent="0.25" r="516" customHeight="1" ht="18.75" hidden="1">
      <c r="A516" s="12" t="s">
        <v>1555</v>
      </c>
      <c r="B516" s="9">
        <v>45784</v>
      </c>
      <c r="C516" s="12" t="s">
        <v>3</v>
      </c>
      <c r="D516" s="12" t="s">
        <v>1556</v>
      </c>
      <c r="E516" s="12" t="s">
        <v>3</v>
      </c>
      <c r="F516" s="12" t="s">
        <v>1557</v>
      </c>
    </row>
    <row x14ac:dyDescent="0.25" r="517" customHeight="1" ht="18.75" hidden="1">
      <c r="A517" s="12" t="s">
        <v>1558</v>
      </c>
      <c r="B517" s="9">
        <v>45784</v>
      </c>
      <c r="C517" s="12" t="s">
        <v>101</v>
      </c>
      <c r="D517" s="12" t="s">
        <v>1559</v>
      </c>
      <c r="E517" s="12" t="s">
        <v>2</v>
      </c>
      <c r="F517" s="12" t="s">
        <v>1560</v>
      </c>
    </row>
    <row x14ac:dyDescent="0.25" r="518" customHeight="1" ht="18.75" hidden="1">
      <c r="A518" s="12" t="s">
        <v>1561</v>
      </c>
      <c r="B518" s="9">
        <v>45784</v>
      </c>
      <c r="C518" s="12" t="s">
        <v>2</v>
      </c>
      <c r="D518" s="12" t="s">
        <v>1562</v>
      </c>
      <c r="E518" s="12" t="s">
        <v>2</v>
      </c>
      <c r="F518" s="12" t="s">
        <v>1563</v>
      </c>
    </row>
    <row x14ac:dyDescent="0.25" r="519" customHeight="1" ht="18.75">
      <c r="A519" s="12" t="s">
        <v>1564</v>
      </c>
      <c r="B519" s="9">
        <v>45784</v>
      </c>
      <c r="C519" s="12" t="s">
        <v>3</v>
      </c>
      <c r="D519" s="12" t="s">
        <v>1565</v>
      </c>
      <c r="E519" s="12" t="s">
        <v>4</v>
      </c>
      <c r="F519" s="12" t="s">
        <v>1566</v>
      </c>
    </row>
    <row x14ac:dyDescent="0.25" r="520" customHeight="1" ht="18.75" hidden="1">
      <c r="A520" s="12" t="s">
        <v>1567</v>
      </c>
      <c r="B520" s="9">
        <v>45784</v>
      </c>
      <c r="C520" s="12" t="s">
        <v>3</v>
      </c>
      <c r="D520" s="12" t="s">
        <v>1568</v>
      </c>
      <c r="E520" s="12" t="s">
        <v>3</v>
      </c>
      <c r="F520" s="12" t="s">
        <v>1569</v>
      </c>
    </row>
    <row x14ac:dyDescent="0.25" r="521" customHeight="1" ht="18.75" hidden="1">
      <c r="A521" s="12" t="s">
        <v>1570</v>
      </c>
      <c r="B521" s="9">
        <v>45784</v>
      </c>
      <c r="C521" s="12" t="s">
        <v>2</v>
      </c>
      <c r="D521" s="12" t="s">
        <v>1571</v>
      </c>
      <c r="E521" s="12" t="s">
        <v>2</v>
      </c>
      <c r="F521" s="12" t="s">
        <v>1572</v>
      </c>
    </row>
    <row x14ac:dyDescent="0.25" r="522" customHeight="1" ht="18.75" hidden="1">
      <c r="A522" s="12" t="s">
        <v>1573</v>
      </c>
      <c r="B522" s="9">
        <v>45783</v>
      </c>
      <c r="C522" s="12" t="s">
        <v>2</v>
      </c>
      <c r="D522" s="12" t="s">
        <v>1574</v>
      </c>
      <c r="E522" s="12" t="s">
        <v>2</v>
      </c>
      <c r="F522" s="12" t="s">
        <v>1575</v>
      </c>
    </row>
    <row x14ac:dyDescent="0.25" r="523" customHeight="1" ht="18.75" hidden="1">
      <c r="A523" s="12" t="s">
        <v>1576</v>
      </c>
      <c r="B523" s="9">
        <v>45783</v>
      </c>
      <c r="C523" s="12" t="s">
        <v>3</v>
      </c>
      <c r="D523" s="12" t="s">
        <v>1577</v>
      </c>
      <c r="E523" s="12" t="s">
        <v>3</v>
      </c>
      <c r="F523" s="12" t="s">
        <v>1578</v>
      </c>
    </row>
    <row x14ac:dyDescent="0.25" r="524" customHeight="1" ht="18.75" hidden="1">
      <c r="A524" s="12" t="s">
        <v>1579</v>
      </c>
      <c r="B524" s="9">
        <v>45783</v>
      </c>
      <c r="C524" s="12" t="s">
        <v>2</v>
      </c>
      <c r="D524" s="12" t="s">
        <v>1580</v>
      </c>
      <c r="E524" s="12" t="s">
        <v>2</v>
      </c>
      <c r="F524" s="12" t="s">
        <v>1581</v>
      </c>
    </row>
    <row x14ac:dyDescent="0.25" r="525" customHeight="1" ht="18.75" hidden="1">
      <c r="A525" s="12" t="s">
        <v>1582</v>
      </c>
      <c r="B525" s="9">
        <v>45783</v>
      </c>
      <c r="C525" s="12" t="s">
        <v>3</v>
      </c>
      <c r="D525" s="12" t="s">
        <v>1583</v>
      </c>
      <c r="E525" s="12" t="s">
        <v>3</v>
      </c>
      <c r="F525" s="12" t="s">
        <v>1584</v>
      </c>
    </row>
    <row x14ac:dyDescent="0.25" r="526" customHeight="1" ht="18.75" hidden="1">
      <c r="A526" s="12" t="s">
        <v>1585</v>
      </c>
      <c r="B526" s="9">
        <v>45783</v>
      </c>
      <c r="C526" s="12" t="s">
        <v>2</v>
      </c>
      <c r="D526" s="12" t="s">
        <v>1586</v>
      </c>
      <c r="E526" s="12" t="s">
        <v>2</v>
      </c>
      <c r="F526" s="12" t="s">
        <v>1587</v>
      </c>
    </row>
    <row x14ac:dyDescent="0.25" r="527" customHeight="1" ht="18.75" hidden="1">
      <c r="A527" s="12" t="s">
        <v>1588</v>
      </c>
      <c r="B527" s="9">
        <v>45783</v>
      </c>
      <c r="C527" s="12" t="s">
        <v>3</v>
      </c>
      <c r="D527" s="12" t="s">
        <v>1589</v>
      </c>
      <c r="E527" s="12" t="s">
        <v>3</v>
      </c>
      <c r="F527" s="12" t="s">
        <v>1590</v>
      </c>
    </row>
    <row x14ac:dyDescent="0.25" r="528" customHeight="1" ht="18.75" hidden="1">
      <c r="A528" s="12" t="s">
        <v>1591</v>
      </c>
      <c r="B528" s="9">
        <v>45783</v>
      </c>
      <c r="C528" s="12" t="s">
        <v>2</v>
      </c>
      <c r="D528" s="12" t="s">
        <v>1592</v>
      </c>
      <c r="E528" s="12" t="s">
        <v>3</v>
      </c>
      <c r="F528" s="12" t="s">
        <v>1593</v>
      </c>
    </row>
    <row x14ac:dyDescent="0.25" r="529" customHeight="1" ht="18.75" hidden="1">
      <c r="A529" s="12" t="s">
        <v>1594</v>
      </c>
      <c r="B529" s="9">
        <v>45783</v>
      </c>
      <c r="C529" s="12" t="s">
        <v>2</v>
      </c>
      <c r="D529" s="12" t="s">
        <v>1595</v>
      </c>
      <c r="E529" s="12" t="s">
        <v>3</v>
      </c>
      <c r="F529" s="12" t="s">
        <v>1596</v>
      </c>
    </row>
    <row x14ac:dyDescent="0.25" r="530" customHeight="1" ht="18.75" hidden="1">
      <c r="A530" s="12" t="s">
        <v>1597</v>
      </c>
      <c r="B530" s="9">
        <v>45783</v>
      </c>
      <c r="C530" s="12" t="s">
        <v>2</v>
      </c>
      <c r="D530" s="12" t="s">
        <v>1598</v>
      </c>
      <c r="E530" s="12" t="s">
        <v>2</v>
      </c>
      <c r="F530" s="12" t="s">
        <v>1599</v>
      </c>
    </row>
    <row x14ac:dyDescent="0.25" r="531" customHeight="1" ht="18.75" hidden="1">
      <c r="A531" s="12" t="s">
        <v>1600</v>
      </c>
      <c r="B531" s="9">
        <v>45783</v>
      </c>
      <c r="C531" s="12" t="s">
        <v>2</v>
      </c>
      <c r="D531" s="12" t="s">
        <v>1601</v>
      </c>
      <c r="E531" s="12" t="s">
        <v>2</v>
      </c>
      <c r="F531" s="12" t="s">
        <v>1602</v>
      </c>
    </row>
    <row x14ac:dyDescent="0.25" r="532" customHeight="1" ht="18.75" hidden="1">
      <c r="A532" s="12" t="s">
        <v>1603</v>
      </c>
      <c r="B532" s="9">
        <v>45783</v>
      </c>
      <c r="C532" s="12" t="s">
        <v>2</v>
      </c>
      <c r="D532" s="12" t="s">
        <v>1604</v>
      </c>
      <c r="E532" s="12" t="s">
        <v>2</v>
      </c>
      <c r="F532" s="12" t="s">
        <v>1605</v>
      </c>
    </row>
    <row x14ac:dyDescent="0.25" r="533" customHeight="1" ht="18.75" hidden="1">
      <c r="A533" s="12" t="s">
        <v>1606</v>
      </c>
      <c r="B533" s="9">
        <v>45783</v>
      </c>
      <c r="C533" s="12" t="s">
        <v>3</v>
      </c>
      <c r="D533" s="12" t="s">
        <v>1607</v>
      </c>
      <c r="E533" s="12" t="s">
        <v>3</v>
      </c>
      <c r="F533" s="12" t="s">
        <v>1608</v>
      </c>
    </row>
    <row x14ac:dyDescent="0.25" r="534" customHeight="1" ht="18.75" hidden="1">
      <c r="A534" s="12" t="s">
        <v>1609</v>
      </c>
      <c r="B534" s="9">
        <v>45783</v>
      </c>
      <c r="C534" s="12" t="s">
        <v>3</v>
      </c>
      <c r="D534" s="12" t="s">
        <v>1610</v>
      </c>
      <c r="E534" s="12" t="s">
        <v>3</v>
      </c>
      <c r="F534" s="12" t="s">
        <v>1611</v>
      </c>
    </row>
    <row x14ac:dyDescent="0.25" r="535" customHeight="1" ht="18.75" hidden="1">
      <c r="A535" s="12" t="s">
        <v>1612</v>
      </c>
      <c r="B535" s="9">
        <v>45783</v>
      </c>
      <c r="C535" s="12" t="s">
        <v>2</v>
      </c>
      <c r="D535" s="12" t="s">
        <v>1613</v>
      </c>
      <c r="E535" s="12" t="s">
        <v>2</v>
      </c>
      <c r="F535" s="12" t="s">
        <v>1614</v>
      </c>
    </row>
    <row x14ac:dyDescent="0.25" r="536" customHeight="1" ht="18.75" hidden="1">
      <c r="A536" s="12" t="s">
        <v>1615</v>
      </c>
      <c r="B536" s="9">
        <v>45783</v>
      </c>
      <c r="C536" s="12" t="s">
        <v>2</v>
      </c>
      <c r="D536" s="12" t="s">
        <v>1616</v>
      </c>
      <c r="E536" s="12" t="s">
        <v>2</v>
      </c>
      <c r="F536" s="12" t="s">
        <v>1617</v>
      </c>
    </row>
    <row x14ac:dyDescent="0.25" r="537" customHeight="1" ht="18.75" hidden="1">
      <c r="A537" s="12" t="s">
        <v>1618</v>
      </c>
      <c r="B537" s="9">
        <v>45783</v>
      </c>
      <c r="C537" s="12" t="s">
        <v>3</v>
      </c>
      <c r="D537" s="12" t="s">
        <v>1619</v>
      </c>
      <c r="E537" s="12" t="s">
        <v>3</v>
      </c>
      <c r="F537" s="12" t="s">
        <v>1620</v>
      </c>
    </row>
    <row x14ac:dyDescent="0.25" r="538" customHeight="1" ht="18.75" hidden="1">
      <c r="A538" s="12" t="s">
        <v>1621</v>
      </c>
      <c r="B538" s="9">
        <v>45783</v>
      </c>
      <c r="C538" s="12" t="s">
        <v>3</v>
      </c>
      <c r="D538" s="12" t="s">
        <v>1622</v>
      </c>
      <c r="E538" s="12" t="s">
        <v>3</v>
      </c>
      <c r="F538" s="12" t="s">
        <v>1623</v>
      </c>
    </row>
    <row x14ac:dyDescent="0.25" r="539" customHeight="1" ht="18.75" hidden="1">
      <c r="A539" s="12" t="s">
        <v>1624</v>
      </c>
      <c r="B539" s="9">
        <v>45783</v>
      </c>
      <c r="C539" s="12" t="s">
        <v>3</v>
      </c>
      <c r="D539" s="12" t="s">
        <v>1625</v>
      </c>
      <c r="E539" s="12" t="s">
        <v>3</v>
      </c>
      <c r="F539" s="12" t="s">
        <v>1626</v>
      </c>
    </row>
    <row x14ac:dyDescent="0.25" r="540" customHeight="1" ht="18.75" hidden="1">
      <c r="A540" s="12" t="s">
        <v>1627</v>
      </c>
      <c r="B540" s="9">
        <v>45782</v>
      </c>
      <c r="C540" s="12" t="s">
        <v>3</v>
      </c>
      <c r="D540" s="12" t="s">
        <v>1628</v>
      </c>
      <c r="E540" s="12" t="s">
        <v>3</v>
      </c>
      <c r="F540" s="12" t="s">
        <v>1629</v>
      </c>
    </row>
    <row x14ac:dyDescent="0.25" r="541" customHeight="1" ht="18.75" hidden="1">
      <c r="A541" s="12" t="s">
        <v>1630</v>
      </c>
      <c r="B541" s="9">
        <v>45782</v>
      </c>
      <c r="C541" s="12" t="s">
        <v>3</v>
      </c>
      <c r="D541" s="12" t="s">
        <v>1631</v>
      </c>
      <c r="E541" s="12" t="s">
        <v>3</v>
      </c>
      <c r="F541" s="12" t="s">
        <v>1632</v>
      </c>
    </row>
    <row x14ac:dyDescent="0.25" r="542" customHeight="1" ht="18.75" hidden="1">
      <c r="A542" s="12" t="s">
        <v>1633</v>
      </c>
      <c r="B542" s="9">
        <v>45782</v>
      </c>
      <c r="C542" s="12" t="s">
        <v>3</v>
      </c>
      <c r="D542" s="12" t="s">
        <v>1634</v>
      </c>
      <c r="E542" s="12" t="s">
        <v>3</v>
      </c>
      <c r="F542" s="12" t="s">
        <v>1635</v>
      </c>
    </row>
    <row x14ac:dyDescent="0.25" r="543" customHeight="1" ht="18.75" hidden="1">
      <c r="A543" s="12" t="s">
        <v>1636</v>
      </c>
      <c r="B543" s="9">
        <v>45782</v>
      </c>
      <c r="C543" s="12" t="s">
        <v>3</v>
      </c>
      <c r="D543" s="12" t="s">
        <v>1637</v>
      </c>
      <c r="E543" s="12" t="s">
        <v>3</v>
      </c>
      <c r="F543" s="12" t="s">
        <v>1638</v>
      </c>
    </row>
    <row x14ac:dyDescent="0.25" r="544" customHeight="1" ht="18.75" hidden="1">
      <c r="A544" s="12" t="s">
        <v>1639</v>
      </c>
      <c r="B544" s="9">
        <v>45782</v>
      </c>
      <c r="C544" s="12" t="s">
        <v>3</v>
      </c>
      <c r="D544" s="12" t="s">
        <v>1640</v>
      </c>
      <c r="E544" s="12" t="s">
        <v>3</v>
      </c>
      <c r="F544" s="12" t="s">
        <v>1641</v>
      </c>
    </row>
    <row x14ac:dyDescent="0.25" r="545" customHeight="1" ht="18.75" hidden="1">
      <c r="A545" s="12" t="s">
        <v>1642</v>
      </c>
      <c r="B545" s="9">
        <v>45782</v>
      </c>
      <c r="C545" s="12" t="s">
        <v>2</v>
      </c>
      <c r="D545" s="12" t="s">
        <v>1643</v>
      </c>
      <c r="E545" s="12" t="s">
        <v>2</v>
      </c>
      <c r="F545" s="12" t="s">
        <v>1644</v>
      </c>
    </row>
    <row x14ac:dyDescent="0.25" r="546" customHeight="1" ht="18.75" hidden="1">
      <c r="A546" s="12" t="s">
        <v>1645</v>
      </c>
      <c r="B546" s="9">
        <v>45782</v>
      </c>
      <c r="C546" s="12" t="s">
        <v>3</v>
      </c>
      <c r="D546" s="12" t="s">
        <v>1646</v>
      </c>
      <c r="E546" s="12" t="s">
        <v>3</v>
      </c>
      <c r="F546" s="12" t="s">
        <v>1647</v>
      </c>
    </row>
    <row x14ac:dyDescent="0.25" r="547" customHeight="1" ht="18.75" hidden="1">
      <c r="A547" s="12" t="s">
        <v>1648</v>
      </c>
      <c r="B547" s="9">
        <v>45782</v>
      </c>
      <c r="C547" s="12" t="s">
        <v>3</v>
      </c>
      <c r="D547" s="12" t="s">
        <v>1649</v>
      </c>
      <c r="E547" s="12" t="s">
        <v>3</v>
      </c>
      <c r="F547" s="12" t="s">
        <v>1650</v>
      </c>
    </row>
    <row x14ac:dyDescent="0.25" r="548" customHeight="1" ht="18.75" hidden="1">
      <c r="A548" s="12" t="s">
        <v>1651</v>
      </c>
      <c r="B548" s="9">
        <v>45782</v>
      </c>
      <c r="C548" s="12" t="s">
        <v>3</v>
      </c>
      <c r="D548" s="12" t="s">
        <v>1652</v>
      </c>
      <c r="E548" s="12" t="s">
        <v>3</v>
      </c>
      <c r="F548" s="12" t="s">
        <v>1653</v>
      </c>
    </row>
    <row x14ac:dyDescent="0.25" r="549" customHeight="1" ht="18.75" hidden="1">
      <c r="A549" s="12" t="s">
        <v>1654</v>
      </c>
      <c r="B549" s="9">
        <v>45782</v>
      </c>
      <c r="C549" s="12" t="s">
        <v>3</v>
      </c>
      <c r="D549" s="12" t="s">
        <v>1655</v>
      </c>
      <c r="E549" s="12" t="s">
        <v>3</v>
      </c>
      <c r="F549" s="12" t="s">
        <v>1656</v>
      </c>
    </row>
    <row x14ac:dyDescent="0.25" r="550" customHeight="1" ht="18.75" hidden="1">
      <c r="A550" s="12" t="s">
        <v>1657</v>
      </c>
      <c r="B550" s="9">
        <v>45782</v>
      </c>
      <c r="C550" s="12" t="s">
        <v>3</v>
      </c>
      <c r="D550" s="12" t="s">
        <v>1658</v>
      </c>
      <c r="E550" s="12" t="s">
        <v>3</v>
      </c>
      <c r="F550" s="12" t="s">
        <v>1659</v>
      </c>
    </row>
    <row x14ac:dyDescent="0.25" r="551" customHeight="1" ht="18.75" hidden="1">
      <c r="A551" s="12" t="s">
        <v>1660</v>
      </c>
      <c r="B551" s="9">
        <v>45782</v>
      </c>
      <c r="C551" s="12" t="s">
        <v>13</v>
      </c>
      <c r="D551" s="12" t="s">
        <v>1661</v>
      </c>
      <c r="E551" s="12" t="s">
        <v>3</v>
      </c>
      <c r="F551" s="12" t="s">
        <v>1662</v>
      </c>
    </row>
    <row x14ac:dyDescent="0.25" r="552" customHeight="1" ht="18.75" hidden="1">
      <c r="A552" s="12" t="s">
        <v>1663</v>
      </c>
      <c r="B552" s="9">
        <v>45781</v>
      </c>
      <c r="C552" s="12" t="s">
        <v>3</v>
      </c>
      <c r="D552" s="12" t="s">
        <v>1664</v>
      </c>
      <c r="E552" s="12" t="s">
        <v>3</v>
      </c>
      <c r="F552" s="12" t="s">
        <v>1665</v>
      </c>
    </row>
    <row x14ac:dyDescent="0.25" r="553" customHeight="1" ht="18.75" hidden="1">
      <c r="A553" s="12" t="s">
        <v>1666</v>
      </c>
      <c r="B553" s="9">
        <v>45780</v>
      </c>
      <c r="C553" s="12" t="s">
        <v>3</v>
      </c>
      <c r="D553" s="12" t="s">
        <v>1667</v>
      </c>
      <c r="E553" s="12" t="s">
        <v>3</v>
      </c>
      <c r="F553" s="12" t="s">
        <v>1668</v>
      </c>
    </row>
    <row x14ac:dyDescent="0.25" r="554" customHeight="1" ht="18.75" hidden="1">
      <c r="A554" s="12" t="s">
        <v>1669</v>
      </c>
      <c r="B554" s="9">
        <v>45780</v>
      </c>
      <c r="C554" s="12" t="s">
        <v>3</v>
      </c>
      <c r="D554" s="12" t="s">
        <v>1670</v>
      </c>
      <c r="E554" s="12" t="s">
        <v>3</v>
      </c>
      <c r="F554" s="12" t="s">
        <v>1671</v>
      </c>
    </row>
    <row x14ac:dyDescent="0.25" r="555" customHeight="1" ht="18.75" hidden="1">
      <c r="A555" s="12" t="s">
        <v>1672</v>
      </c>
      <c r="B555" s="9">
        <v>45780</v>
      </c>
      <c r="C555" s="12" t="s">
        <v>3</v>
      </c>
      <c r="D555" s="12" t="s">
        <v>1673</v>
      </c>
      <c r="E555" s="12" t="s">
        <v>3</v>
      </c>
      <c r="F555" s="12" t="s">
        <v>1674</v>
      </c>
    </row>
    <row x14ac:dyDescent="0.25" r="556" customHeight="1" ht="18.75" hidden="1">
      <c r="A556" s="12" t="s">
        <v>1675</v>
      </c>
      <c r="B556" s="9">
        <v>45779</v>
      </c>
      <c r="C556" s="12" t="s">
        <v>2</v>
      </c>
      <c r="D556" s="12" t="s">
        <v>1676</v>
      </c>
      <c r="E556" s="12" t="s">
        <v>2</v>
      </c>
      <c r="F556" s="12" t="s">
        <v>1677</v>
      </c>
    </row>
    <row x14ac:dyDescent="0.25" r="557" customHeight="1" ht="18.75" hidden="1">
      <c r="A557" s="12" t="s">
        <v>1678</v>
      </c>
      <c r="B557" s="9">
        <v>45779</v>
      </c>
      <c r="C557" s="12" t="s">
        <v>2</v>
      </c>
      <c r="D557" s="12" t="s">
        <v>1679</v>
      </c>
      <c r="E557" s="12" t="s">
        <v>3</v>
      </c>
      <c r="F557" s="12" t="s">
        <v>1680</v>
      </c>
    </row>
    <row x14ac:dyDescent="0.25" r="558" customHeight="1" ht="18.75" hidden="1">
      <c r="A558" s="12" t="s">
        <v>1681</v>
      </c>
      <c r="B558" s="9">
        <v>45779</v>
      </c>
      <c r="C558" s="12" t="s">
        <v>3</v>
      </c>
      <c r="D558" s="12" t="s">
        <v>1682</v>
      </c>
      <c r="E558" s="12" t="s">
        <v>3</v>
      </c>
      <c r="F558" s="12" t="s">
        <v>1683</v>
      </c>
    </row>
    <row x14ac:dyDescent="0.25" r="559" customHeight="1" ht="18.75" hidden="1">
      <c r="A559" s="12" t="s">
        <v>1684</v>
      </c>
      <c r="B559" s="9">
        <v>45779</v>
      </c>
      <c r="C559" s="12" t="s">
        <v>2</v>
      </c>
      <c r="D559" s="12" t="s">
        <v>1685</v>
      </c>
      <c r="E559" s="12" t="s">
        <v>2</v>
      </c>
      <c r="F559" s="12" t="s">
        <v>1686</v>
      </c>
    </row>
    <row x14ac:dyDescent="0.25" r="560" customHeight="1" ht="18.75" hidden="1">
      <c r="A560" s="12" t="s">
        <v>1687</v>
      </c>
      <c r="B560" s="9">
        <v>45779</v>
      </c>
      <c r="C560" s="12" t="s">
        <v>2</v>
      </c>
      <c r="D560" s="12" t="s">
        <v>1688</v>
      </c>
      <c r="E560" s="12" t="s">
        <v>2</v>
      </c>
      <c r="F560" s="12" t="s">
        <v>1689</v>
      </c>
    </row>
    <row x14ac:dyDescent="0.25" r="561" customHeight="1" ht="18.75" hidden="1">
      <c r="A561" s="12" t="s">
        <v>1690</v>
      </c>
      <c r="B561" s="9">
        <v>45779</v>
      </c>
      <c r="C561" s="12" t="s">
        <v>3</v>
      </c>
      <c r="D561" s="12" t="s">
        <v>1691</v>
      </c>
      <c r="E561" s="12" t="s">
        <v>3</v>
      </c>
      <c r="F561" s="12" t="s">
        <v>1692</v>
      </c>
    </row>
    <row x14ac:dyDescent="0.25" r="562" customHeight="1" ht="18.75" hidden="1">
      <c r="A562" s="12" t="s">
        <v>1693</v>
      </c>
      <c r="B562" s="9">
        <v>45779</v>
      </c>
      <c r="C562" s="12" t="s">
        <v>3</v>
      </c>
      <c r="D562" s="12" t="s">
        <v>1694</v>
      </c>
      <c r="E562" s="12" t="s">
        <v>3</v>
      </c>
      <c r="F562" s="12" t="s">
        <v>1695</v>
      </c>
    </row>
    <row x14ac:dyDescent="0.25" r="563" customHeight="1" ht="18.75" hidden="1">
      <c r="A563" s="12" t="s">
        <v>1696</v>
      </c>
      <c r="B563" s="9">
        <v>45779</v>
      </c>
      <c r="C563" s="12" t="s">
        <v>2</v>
      </c>
      <c r="D563" s="12" t="s">
        <v>1697</v>
      </c>
      <c r="E563" s="12" t="s">
        <v>2</v>
      </c>
      <c r="F563" s="12" t="s">
        <v>1698</v>
      </c>
    </row>
    <row x14ac:dyDescent="0.25" r="564" customHeight="1" ht="18.75" hidden="1">
      <c r="A564" s="12" t="s">
        <v>1699</v>
      </c>
      <c r="B564" s="9">
        <v>45779</v>
      </c>
      <c r="C564" s="12" t="s">
        <v>3</v>
      </c>
      <c r="D564" s="12" t="s">
        <v>1700</v>
      </c>
      <c r="E564" s="12" t="s">
        <v>3</v>
      </c>
      <c r="F564" s="12" t="s">
        <v>1701</v>
      </c>
    </row>
    <row x14ac:dyDescent="0.25" r="565" customHeight="1" ht="18.75" hidden="1">
      <c r="A565" s="12" t="s">
        <v>1702</v>
      </c>
      <c r="B565" s="9">
        <v>45778</v>
      </c>
      <c r="C565" s="12" t="s">
        <v>2</v>
      </c>
      <c r="D565" s="12" t="s">
        <v>1703</v>
      </c>
      <c r="E565" s="12" t="s">
        <v>2</v>
      </c>
      <c r="F565" s="12" t="s">
        <v>1704</v>
      </c>
    </row>
    <row x14ac:dyDescent="0.25" r="566" customHeight="1" ht="18.75" hidden="1">
      <c r="A566" s="12" t="s">
        <v>1705</v>
      </c>
      <c r="B566" s="9">
        <v>45778</v>
      </c>
      <c r="C566" s="12" t="s">
        <v>3</v>
      </c>
      <c r="D566" s="12" t="s">
        <v>1706</v>
      </c>
      <c r="E566" s="12" t="s">
        <v>3</v>
      </c>
      <c r="F566" s="12" t="s">
        <v>1707</v>
      </c>
    </row>
    <row x14ac:dyDescent="0.25" r="567" customHeight="1" ht="18.75" hidden="1">
      <c r="A567" s="12" t="s">
        <v>1708</v>
      </c>
      <c r="B567" s="9">
        <v>45778</v>
      </c>
      <c r="C567" s="12" t="s">
        <v>2</v>
      </c>
      <c r="D567" s="12" t="s">
        <v>1709</v>
      </c>
      <c r="E567" s="12" t="s">
        <v>2</v>
      </c>
      <c r="F567" s="12" t="s">
        <v>1710</v>
      </c>
    </row>
    <row x14ac:dyDescent="0.25" r="568" customHeight="1" ht="18.75" hidden="1">
      <c r="A568" s="12" t="s">
        <v>1711</v>
      </c>
      <c r="B568" s="9">
        <v>45778</v>
      </c>
      <c r="C568" s="12" t="s">
        <v>3</v>
      </c>
      <c r="D568" s="12" t="s">
        <v>1712</v>
      </c>
      <c r="E568" s="12" t="s">
        <v>3</v>
      </c>
      <c r="F568" s="12" t="s">
        <v>1713</v>
      </c>
    </row>
    <row x14ac:dyDescent="0.25" r="569" customHeight="1" ht="18.75" hidden="1">
      <c r="A569" s="12" t="s">
        <v>1714</v>
      </c>
      <c r="B569" s="9">
        <v>45778</v>
      </c>
      <c r="C569" s="12" t="s">
        <v>2</v>
      </c>
      <c r="D569" s="12" t="s">
        <v>1715</v>
      </c>
      <c r="E569" s="12" t="s">
        <v>2</v>
      </c>
      <c r="F569" s="12" t="s">
        <v>1716</v>
      </c>
    </row>
    <row x14ac:dyDescent="0.25" r="570" customHeight="1" ht="18.75" hidden="1">
      <c r="A570" s="12" t="s">
        <v>1717</v>
      </c>
      <c r="B570" s="9">
        <v>45777</v>
      </c>
      <c r="C570" s="12" t="s">
        <v>3</v>
      </c>
      <c r="D570" s="12" t="s">
        <v>1718</v>
      </c>
      <c r="E570" s="12" t="s">
        <v>3</v>
      </c>
      <c r="F570" s="12" t="s">
        <v>1719</v>
      </c>
    </row>
    <row x14ac:dyDescent="0.25" r="571" customHeight="1" ht="18.75" hidden="1">
      <c r="A571" s="12" t="s">
        <v>1720</v>
      </c>
      <c r="B571" s="9">
        <v>45777</v>
      </c>
      <c r="C571" s="12" t="s">
        <v>3</v>
      </c>
      <c r="D571" s="12" t="s">
        <v>1721</v>
      </c>
      <c r="E571" s="12" t="s">
        <v>3</v>
      </c>
      <c r="F571" s="12" t="s">
        <v>1722</v>
      </c>
    </row>
    <row x14ac:dyDescent="0.25" r="572" customHeight="1" ht="18.75" hidden="1">
      <c r="A572" s="12" t="s">
        <v>1723</v>
      </c>
      <c r="B572" s="9">
        <v>45777</v>
      </c>
      <c r="C572" s="12" t="s">
        <v>3</v>
      </c>
      <c r="D572" s="12" t="s">
        <v>1724</v>
      </c>
      <c r="E572" s="12" t="s">
        <v>3</v>
      </c>
      <c r="F572" s="12" t="s">
        <v>1725</v>
      </c>
    </row>
    <row x14ac:dyDescent="0.25" r="573" customHeight="1" ht="18.75" hidden="1">
      <c r="A573" s="12" t="s">
        <v>1726</v>
      </c>
      <c r="B573" s="9">
        <v>45777</v>
      </c>
      <c r="C573" s="12" t="s">
        <v>3</v>
      </c>
      <c r="D573" s="12" t="s">
        <v>1727</v>
      </c>
      <c r="E573" s="12" t="s">
        <v>3</v>
      </c>
      <c r="F573" s="12" t="s">
        <v>1728</v>
      </c>
    </row>
    <row x14ac:dyDescent="0.25" r="574" customHeight="1" ht="18.75" hidden="1">
      <c r="A574" s="12" t="s">
        <v>1729</v>
      </c>
      <c r="B574" s="9">
        <v>45777</v>
      </c>
      <c r="C574" s="12" t="s">
        <v>3</v>
      </c>
      <c r="D574" s="12" t="s">
        <v>1730</v>
      </c>
      <c r="E574" s="12" t="s">
        <v>3</v>
      </c>
      <c r="F574" s="12" t="s">
        <v>1731</v>
      </c>
    </row>
    <row x14ac:dyDescent="0.25" r="575" customHeight="1" ht="18.75" hidden="1">
      <c r="A575" s="12" t="s">
        <v>1732</v>
      </c>
      <c r="B575" s="9">
        <v>45777</v>
      </c>
      <c r="C575" s="12" t="s">
        <v>3</v>
      </c>
      <c r="D575" s="12" t="s">
        <v>1733</v>
      </c>
      <c r="E575" s="12" t="s">
        <v>3</v>
      </c>
      <c r="F575" s="12" t="s">
        <v>1734</v>
      </c>
    </row>
    <row x14ac:dyDescent="0.25" r="576" customHeight="1" ht="18.75" hidden="1">
      <c r="A576" s="12" t="s">
        <v>1735</v>
      </c>
      <c r="B576" s="9">
        <v>45777</v>
      </c>
      <c r="C576" s="12" t="s">
        <v>3</v>
      </c>
      <c r="D576" s="12" t="s">
        <v>1736</v>
      </c>
      <c r="E576" s="12" t="s">
        <v>3</v>
      </c>
      <c r="F576" s="12" t="s">
        <v>1737</v>
      </c>
    </row>
    <row x14ac:dyDescent="0.25" r="577" customHeight="1" ht="18.75" hidden="1">
      <c r="A577" s="12" t="s">
        <v>1738</v>
      </c>
      <c r="B577" s="9">
        <v>45777</v>
      </c>
      <c r="C577" s="12" t="s">
        <v>2</v>
      </c>
      <c r="D577" s="12" t="s">
        <v>1739</v>
      </c>
      <c r="E577" s="12" t="s">
        <v>2</v>
      </c>
      <c r="F577" s="12" t="s">
        <v>1740</v>
      </c>
    </row>
    <row x14ac:dyDescent="0.25" r="578" customHeight="1" ht="18.75" hidden="1">
      <c r="A578" s="12" t="s">
        <v>1741</v>
      </c>
      <c r="B578" s="9">
        <v>45777</v>
      </c>
      <c r="C578" s="12" t="s">
        <v>3</v>
      </c>
      <c r="D578" s="12" t="s">
        <v>1742</v>
      </c>
      <c r="E578" s="12" t="s">
        <v>3</v>
      </c>
      <c r="F578" s="12" t="s">
        <v>1743</v>
      </c>
    </row>
    <row x14ac:dyDescent="0.25" r="579" customHeight="1" ht="18.75" hidden="1">
      <c r="A579" s="12" t="s">
        <v>1744</v>
      </c>
      <c r="B579" s="9">
        <v>45777</v>
      </c>
      <c r="C579" s="12" t="s">
        <v>3</v>
      </c>
      <c r="D579" s="12" t="s">
        <v>1745</v>
      </c>
      <c r="E579" s="12" t="s">
        <v>3</v>
      </c>
      <c r="F579" s="12" t="s">
        <v>1746</v>
      </c>
    </row>
    <row x14ac:dyDescent="0.25" r="580" customHeight="1" ht="18.75" hidden="1">
      <c r="A580" s="12" t="s">
        <v>1747</v>
      </c>
      <c r="B580" s="9">
        <v>45777</v>
      </c>
      <c r="C580" s="12" t="s">
        <v>3</v>
      </c>
      <c r="D580" s="12" t="s">
        <v>1748</v>
      </c>
      <c r="E580" s="12" t="s">
        <v>3</v>
      </c>
      <c r="F580" s="12" t="s">
        <v>1749</v>
      </c>
    </row>
    <row x14ac:dyDescent="0.25" r="581" customHeight="1" ht="18.75" hidden="1">
      <c r="A581" s="12" t="s">
        <v>1750</v>
      </c>
      <c r="B581" s="9">
        <v>45777</v>
      </c>
      <c r="C581" s="12" t="s">
        <v>3</v>
      </c>
      <c r="D581" s="12" t="s">
        <v>1751</v>
      </c>
      <c r="E581" s="12" t="s">
        <v>3</v>
      </c>
      <c r="F581" s="12" t="s">
        <v>1752</v>
      </c>
    </row>
    <row x14ac:dyDescent="0.25" r="582" customHeight="1" ht="18.75" hidden="1">
      <c r="A582" s="12" t="s">
        <v>1753</v>
      </c>
      <c r="B582" s="9">
        <v>45777</v>
      </c>
      <c r="C582" s="12" t="s">
        <v>3</v>
      </c>
      <c r="D582" s="12" t="s">
        <v>1754</v>
      </c>
      <c r="E582" s="12" t="s">
        <v>3</v>
      </c>
      <c r="F582" s="12" t="s">
        <v>1755</v>
      </c>
    </row>
    <row x14ac:dyDescent="0.25" r="583" customHeight="1" ht="18.75" hidden="1">
      <c r="A583" s="12" t="s">
        <v>1756</v>
      </c>
      <c r="B583" s="9">
        <v>45777</v>
      </c>
      <c r="C583" s="12" t="s">
        <v>3</v>
      </c>
      <c r="D583" s="12" t="s">
        <v>1757</v>
      </c>
      <c r="E583" s="12" t="s">
        <v>3</v>
      </c>
      <c r="F583" s="12" t="s">
        <v>1758</v>
      </c>
    </row>
    <row x14ac:dyDescent="0.25" r="584" customHeight="1" ht="18.75" hidden="1">
      <c r="A584" s="12" t="s">
        <v>1759</v>
      </c>
      <c r="B584" s="9">
        <v>45776</v>
      </c>
      <c r="C584" s="12" t="s">
        <v>3</v>
      </c>
      <c r="D584" s="12" t="s">
        <v>1760</v>
      </c>
      <c r="E584" s="12" t="s">
        <v>3</v>
      </c>
      <c r="F584" s="12" t="s">
        <v>1761</v>
      </c>
    </row>
    <row x14ac:dyDescent="0.25" r="585" customHeight="1" ht="18.75" hidden="1">
      <c r="A585" s="12" t="s">
        <v>1762</v>
      </c>
      <c r="B585" s="9">
        <v>45776</v>
      </c>
      <c r="C585" s="12" t="s">
        <v>3</v>
      </c>
      <c r="D585" s="12" t="s">
        <v>1763</v>
      </c>
      <c r="E585" s="12" t="s">
        <v>3</v>
      </c>
      <c r="F585" s="12" t="s">
        <v>1764</v>
      </c>
    </row>
    <row x14ac:dyDescent="0.25" r="586" customHeight="1" ht="18.75">
      <c r="A586" s="12" t="s">
        <v>1765</v>
      </c>
      <c r="B586" s="9">
        <v>45776</v>
      </c>
      <c r="C586" s="12" t="s">
        <v>101</v>
      </c>
      <c r="D586" s="12" t="s">
        <v>1766</v>
      </c>
      <c r="E586" s="12" t="s">
        <v>13</v>
      </c>
      <c r="F586" s="12" t="s">
        <v>1767</v>
      </c>
    </row>
    <row x14ac:dyDescent="0.25" r="587" customHeight="1" ht="18.75" hidden="1">
      <c r="A587" s="12" t="s">
        <v>1768</v>
      </c>
      <c r="B587" s="9">
        <v>45776</v>
      </c>
      <c r="C587" s="12" t="s">
        <v>3</v>
      </c>
      <c r="D587" s="12" t="s">
        <v>1769</v>
      </c>
      <c r="E587" s="12" t="s">
        <v>3</v>
      </c>
      <c r="F587" s="12" t="s">
        <v>1770</v>
      </c>
    </row>
    <row x14ac:dyDescent="0.25" r="588" customHeight="1" ht="18.75" hidden="1">
      <c r="A588" s="12" t="s">
        <v>1771</v>
      </c>
      <c r="B588" s="9">
        <v>45776</v>
      </c>
      <c r="C588" s="12" t="s">
        <v>3</v>
      </c>
      <c r="D588" s="12" t="s">
        <v>1772</v>
      </c>
      <c r="E588" s="12" t="s">
        <v>3</v>
      </c>
      <c r="F588" s="12" t="s">
        <v>1773</v>
      </c>
    </row>
    <row x14ac:dyDescent="0.25" r="589" customHeight="1" ht="18.75" hidden="1">
      <c r="A589" s="12" t="s">
        <v>1774</v>
      </c>
      <c r="B589" s="9">
        <v>45776</v>
      </c>
      <c r="C589" s="12" t="s">
        <v>3</v>
      </c>
      <c r="D589" s="12" t="s">
        <v>1775</v>
      </c>
      <c r="E589" s="12" t="s">
        <v>3</v>
      </c>
      <c r="F589" s="12" t="s">
        <v>1776</v>
      </c>
    </row>
    <row x14ac:dyDescent="0.25" r="590" customHeight="1" ht="18.75" hidden="1">
      <c r="A590" s="12" t="s">
        <v>1777</v>
      </c>
      <c r="B590" s="9">
        <v>45775</v>
      </c>
      <c r="C590" s="12" t="s">
        <v>3</v>
      </c>
      <c r="D590" s="12" t="s">
        <v>1778</v>
      </c>
      <c r="E590" s="12" t="s">
        <v>3</v>
      </c>
      <c r="F590" s="12" t="s">
        <v>1779</v>
      </c>
    </row>
    <row x14ac:dyDescent="0.25" r="591" customHeight="1" ht="18.75" hidden="1">
      <c r="A591" s="12" t="s">
        <v>1780</v>
      </c>
      <c r="B591" s="9">
        <v>45775</v>
      </c>
      <c r="C591" s="12" t="s">
        <v>3</v>
      </c>
      <c r="D591" s="12" t="s">
        <v>1781</v>
      </c>
      <c r="E591" s="12" t="s">
        <v>3</v>
      </c>
      <c r="F591" s="12" t="s">
        <v>1782</v>
      </c>
    </row>
    <row x14ac:dyDescent="0.25" r="592" customHeight="1" ht="18.75" hidden="1">
      <c r="A592" s="12" t="s">
        <v>1783</v>
      </c>
      <c r="B592" s="9">
        <v>45775</v>
      </c>
      <c r="C592" s="12" t="s">
        <v>2</v>
      </c>
      <c r="D592" s="12" t="s">
        <v>1784</v>
      </c>
      <c r="E592" s="12" t="s">
        <v>2</v>
      </c>
      <c r="F592" s="12" t="s">
        <v>1785</v>
      </c>
    </row>
    <row x14ac:dyDescent="0.25" r="593" customHeight="1" ht="18.75" hidden="1">
      <c r="A593" s="12" t="s">
        <v>1786</v>
      </c>
      <c r="B593" s="9">
        <v>45775</v>
      </c>
      <c r="C593" s="12" t="s">
        <v>3</v>
      </c>
      <c r="D593" s="12" t="s">
        <v>1787</v>
      </c>
      <c r="E593" s="12" t="s">
        <v>3</v>
      </c>
      <c r="F593" s="12" t="s">
        <v>1788</v>
      </c>
    </row>
    <row x14ac:dyDescent="0.25" r="594" customHeight="1" ht="18.75" hidden="1">
      <c r="A594" s="12" t="s">
        <v>1789</v>
      </c>
      <c r="B594" s="9">
        <v>45775</v>
      </c>
      <c r="C594" s="12" t="s">
        <v>3</v>
      </c>
      <c r="D594" s="12" t="s">
        <v>1790</v>
      </c>
      <c r="E594" s="12" t="s">
        <v>3</v>
      </c>
      <c r="F594" s="12" t="s">
        <v>1791</v>
      </c>
    </row>
    <row x14ac:dyDescent="0.25" r="595" customHeight="1" ht="18.75" hidden="1">
      <c r="A595" s="12" t="s">
        <v>1792</v>
      </c>
      <c r="B595" s="9">
        <v>45775</v>
      </c>
      <c r="C595" s="12" t="s">
        <v>101</v>
      </c>
      <c r="D595" s="12" t="s">
        <v>1793</v>
      </c>
      <c r="E595" s="12" t="s">
        <v>2</v>
      </c>
      <c r="F595" s="12" t="s">
        <v>1794</v>
      </c>
    </row>
    <row x14ac:dyDescent="0.25" r="596" customHeight="1" ht="18.75" hidden="1">
      <c r="A596" s="12" t="s">
        <v>1795</v>
      </c>
      <c r="B596" s="9">
        <v>45775</v>
      </c>
      <c r="C596" s="12" t="s">
        <v>2</v>
      </c>
      <c r="D596" s="12" t="s">
        <v>1796</v>
      </c>
      <c r="E596" s="12" t="s">
        <v>2</v>
      </c>
      <c r="F596" s="12" t="s">
        <v>1797</v>
      </c>
    </row>
    <row x14ac:dyDescent="0.25" r="597" customHeight="1" ht="18.75" hidden="1">
      <c r="A597" s="12" t="s">
        <v>1798</v>
      </c>
      <c r="B597" s="9">
        <v>45773</v>
      </c>
      <c r="C597" s="12" t="s">
        <v>3</v>
      </c>
      <c r="D597" s="12" t="s">
        <v>1799</v>
      </c>
      <c r="E597" s="12" t="s">
        <v>3</v>
      </c>
      <c r="F597" s="12" t="s">
        <v>1800</v>
      </c>
    </row>
    <row x14ac:dyDescent="0.25" r="598" customHeight="1" ht="18.75" hidden="1">
      <c r="A598" s="12" t="s">
        <v>1801</v>
      </c>
      <c r="B598" s="9">
        <v>45772</v>
      </c>
      <c r="C598" s="12" t="s">
        <v>2</v>
      </c>
      <c r="D598" s="12" t="s">
        <v>1802</v>
      </c>
      <c r="E598" s="12" t="s">
        <v>2</v>
      </c>
      <c r="F598" s="12" t="s">
        <v>1803</v>
      </c>
    </row>
    <row x14ac:dyDescent="0.25" r="599" customHeight="1" ht="18.75" hidden="1">
      <c r="A599" s="12" t="s">
        <v>1804</v>
      </c>
      <c r="B599" s="9">
        <v>45772</v>
      </c>
      <c r="C599" s="12" t="s">
        <v>2</v>
      </c>
      <c r="D599" s="12" t="s">
        <v>1805</v>
      </c>
      <c r="E599" s="12" t="s">
        <v>2</v>
      </c>
      <c r="F599" s="12" t="s">
        <v>1806</v>
      </c>
    </row>
    <row x14ac:dyDescent="0.25" r="600" customHeight="1" ht="18.75" hidden="1">
      <c r="A600" s="12" t="s">
        <v>1807</v>
      </c>
      <c r="B600" s="9">
        <v>45772</v>
      </c>
      <c r="C600" s="12" t="s">
        <v>3</v>
      </c>
      <c r="D600" s="12" t="s">
        <v>1808</v>
      </c>
      <c r="E600" s="12" t="s">
        <v>3</v>
      </c>
      <c r="F600" s="12" t="s">
        <v>1809</v>
      </c>
    </row>
    <row x14ac:dyDescent="0.25" r="601" customHeight="1" ht="18.75" hidden="1">
      <c r="A601" s="12" t="s">
        <v>1810</v>
      </c>
      <c r="B601" s="9">
        <v>45772</v>
      </c>
      <c r="C601" s="12" t="s">
        <v>3</v>
      </c>
      <c r="D601" s="12" t="s">
        <v>1811</v>
      </c>
      <c r="E601" s="12" t="s">
        <v>3</v>
      </c>
      <c r="F601" s="12" t="s">
        <v>1812</v>
      </c>
    </row>
    <row x14ac:dyDescent="0.25" r="602" customHeight="1" ht="18.75" hidden="1">
      <c r="A602" s="12" t="s">
        <v>1813</v>
      </c>
      <c r="B602" s="9">
        <v>45772</v>
      </c>
      <c r="C602" s="12" t="s">
        <v>3</v>
      </c>
      <c r="D602" s="12" t="s">
        <v>1814</v>
      </c>
      <c r="E602" s="12" t="s">
        <v>3</v>
      </c>
      <c r="F602" s="12" t="s">
        <v>1815</v>
      </c>
    </row>
    <row x14ac:dyDescent="0.25" r="603" customHeight="1" ht="18.75" hidden="1">
      <c r="A603" s="12" t="s">
        <v>1816</v>
      </c>
      <c r="B603" s="9">
        <v>45772</v>
      </c>
      <c r="C603" s="12" t="s">
        <v>2</v>
      </c>
      <c r="D603" s="12" t="s">
        <v>1817</v>
      </c>
      <c r="E603" s="12" t="s">
        <v>2</v>
      </c>
      <c r="F603" s="12" t="s">
        <v>1818</v>
      </c>
    </row>
    <row x14ac:dyDescent="0.25" r="604" customHeight="1" ht="18.75" hidden="1">
      <c r="A604" s="12" t="s">
        <v>1819</v>
      </c>
      <c r="B604" s="9">
        <v>45771</v>
      </c>
      <c r="C604" s="12" t="s">
        <v>3</v>
      </c>
      <c r="D604" s="12" t="s">
        <v>1820</v>
      </c>
      <c r="E604" s="12" t="s">
        <v>3</v>
      </c>
      <c r="F604" s="12" t="s">
        <v>1821</v>
      </c>
    </row>
    <row x14ac:dyDescent="0.25" r="605" customHeight="1" ht="18.75" hidden="1">
      <c r="A605" s="12" t="s">
        <v>1822</v>
      </c>
      <c r="B605" s="9">
        <v>45771</v>
      </c>
      <c r="C605" s="12" t="s">
        <v>2</v>
      </c>
      <c r="D605" s="12" t="s">
        <v>1823</v>
      </c>
      <c r="E605" s="12" t="s">
        <v>2</v>
      </c>
      <c r="F605" s="12" t="s">
        <v>1824</v>
      </c>
    </row>
    <row x14ac:dyDescent="0.25" r="606" customHeight="1" ht="18.75" hidden="1">
      <c r="A606" s="12" t="s">
        <v>1825</v>
      </c>
      <c r="B606" s="9">
        <v>45771</v>
      </c>
      <c r="C606" s="12" t="s">
        <v>3</v>
      </c>
      <c r="D606" s="12" t="s">
        <v>1826</v>
      </c>
      <c r="E606" s="12" t="s">
        <v>3</v>
      </c>
      <c r="F606" s="12" t="s">
        <v>1827</v>
      </c>
    </row>
    <row x14ac:dyDescent="0.25" r="607" customHeight="1" ht="18.75" hidden="1">
      <c r="A607" s="12" t="s">
        <v>1828</v>
      </c>
      <c r="B607" s="9">
        <v>45771</v>
      </c>
      <c r="C607" s="12" t="s">
        <v>2</v>
      </c>
      <c r="D607" s="12" t="s">
        <v>1829</v>
      </c>
      <c r="E607" s="12" t="s">
        <v>2</v>
      </c>
      <c r="F607" s="12" t="s">
        <v>1830</v>
      </c>
    </row>
    <row x14ac:dyDescent="0.25" r="608" customHeight="1" ht="18.75" hidden="1">
      <c r="A608" s="12" t="s">
        <v>1831</v>
      </c>
      <c r="B608" s="9">
        <v>45771</v>
      </c>
      <c r="C608" s="12" t="s">
        <v>3</v>
      </c>
      <c r="D608" s="12" t="s">
        <v>1832</v>
      </c>
      <c r="E608" s="12" t="s">
        <v>3</v>
      </c>
      <c r="F608" s="12" t="s">
        <v>1833</v>
      </c>
    </row>
    <row x14ac:dyDescent="0.25" r="609" customHeight="1" ht="18.75" hidden="1">
      <c r="A609" s="12" t="s">
        <v>1834</v>
      </c>
      <c r="B609" s="9">
        <v>45771</v>
      </c>
      <c r="C609" s="12" t="s">
        <v>3</v>
      </c>
      <c r="D609" s="12" t="s">
        <v>1835</v>
      </c>
      <c r="E609" s="12" t="s">
        <v>3</v>
      </c>
      <c r="F609" s="12" t="s">
        <v>1836</v>
      </c>
    </row>
    <row x14ac:dyDescent="0.25" r="610" customHeight="1" ht="18.75" hidden="1">
      <c r="A610" s="12" t="s">
        <v>1837</v>
      </c>
      <c r="B610" s="9">
        <v>45771</v>
      </c>
      <c r="C610" s="12" t="s">
        <v>3</v>
      </c>
      <c r="D610" s="12" t="s">
        <v>1838</v>
      </c>
      <c r="E610" s="12" t="s">
        <v>3</v>
      </c>
      <c r="F610" s="12" t="s">
        <v>1839</v>
      </c>
    </row>
    <row x14ac:dyDescent="0.25" r="611" customHeight="1" ht="18.75" hidden="1">
      <c r="A611" s="12" t="s">
        <v>1840</v>
      </c>
      <c r="B611" s="9">
        <v>45771</v>
      </c>
      <c r="C611" s="12" t="s">
        <v>3</v>
      </c>
      <c r="D611" s="12" t="s">
        <v>1841</v>
      </c>
      <c r="E611" s="12" t="s">
        <v>3</v>
      </c>
      <c r="F611" s="12" t="s">
        <v>1842</v>
      </c>
    </row>
    <row x14ac:dyDescent="0.25" r="612" customHeight="1" ht="18.75" hidden="1">
      <c r="A612" s="12" t="s">
        <v>1843</v>
      </c>
      <c r="B612" s="9">
        <v>45770</v>
      </c>
      <c r="C612" s="12" t="s">
        <v>3</v>
      </c>
      <c r="D612" s="12" t="s">
        <v>1844</v>
      </c>
      <c r="E612" s="12" t="s">
        <v>3</v>
      </c>
      <c r="F612" s="12" t="s">
        <v>1845</v>
      </c>
    </row>
    <row x14ac:dyDescent="0.25" r="613" customHeight="1" ht="18.75" hidden="1">
      <c r="A613" s="12" t="s">
        <v>1846</v>
      </c>
      <c r="B613" s="9">
        <v>45770</v>
      </c>
      <c r="C613" s="12" t="s">
        <v>3</v>
      </c>
      <c r="D613" s="12" t="s">
        <v>1847</v>
      </c>
      <c r="E613" s="12" t="s">
        <v>3</v>
      </c>
      <c r="F613" s="12" t="s">
        <v>1848</v>
      </c>
    </row>
    <row x14ac:dyDescent="0.25" r="614" customHeight="1" ht="18.75" hidden="1">
      <c r="A614" s="12" t="s">
        <v>1849</v>
      </c>
      <c r="B614" s="9">
        <v>45770</v>
      </c>
      <c r="C614" s="12" t="s">
        <v>2</v>
      </c>
      <c r="D614" s="12" t="s">
        <v>1850</v>
      </c>
      <c r="E614" s="12" t="s">
        <v>2</v>
      </c>
      <c r="F614" s="12" t="s">
        <v>1851</v>
      </c>
    </row>
    <row x14ac:dyDescent="0.25" r="615" customHeight="1" ht="18.75" hidden="1">
      <c r="A615" s="12" t="s">
        <v>1852</v>
      </c>
      <c r="B615" s="9">
        <v>45770</v>
      </c>
      <c r="C615" s="12" t="s">
        <v>3</v>
      </c>
      <c r="D615" s="12" t="s">
        <v>1853</v>
      </c>
      <c r="E615" s="12" t="s">
        <v>3</v>
      </c>
      <c r="F615" s="12" t="s">
        <v>1854</v>
      </c>
    </row>
    <row x14ac:dyDescent="0.25" r="616" customHeight="1" ht="18.75" hidden="1">
      <c r="A616" s="12" t="s">
        <v>1855</v>
      </c>
      <c r="B616" s="9">
        <v>45770</v>
      </c>
      <c r="C616" s="12" t="s">
        <v>3</v>
      </c>
      <c r="D616" s="12" t="s">
        <v>1856</v>
      </c>
      <c r="E616" s="12" t="s">
        <v>3</v>
      </c>
      <c r="F616" s="12" t="s">
        <v>1857</v>
      </c>
    </row>
    <row x14ac:dyDescent="0.25" r="617" customHeight="1" ht="18.75" hidden="1">
      <c r="A617" s="12" t="s">
        <v>1858</v>
      </c>
      <c r="B617" s="9">
        <v>45769</v>
      </c>
      <c r="C617" s="12" t="s">
        <v>13</v>
      </c>
      <c r="D617" s="12" t="s">
        <v>1859</v>
      </c>
      <c r="E617" s="12" t="s">
        <v>3</v>
      </c>
      <c r="F617" s="12" t="s">
        <v>1860</v>
      </c>
    </row>
    <row x14ac:dyDescent="0.25" r="618" customHeight="1" ht="18.75" hidden="1">
      <c r="A618" s="12" t="s">
        <v>1861</v>
      </c>
      <c r="B618" s="9">
        <v>45769</v>
      </c>
      <c r="C618" s="12" t="s">
        <v>2</v>
      </c>
      <c r="D618" s="12" t="s">
        <v>1862</v>
      </c>
      <c r="E618" s="12" t="s">
        <v>2</v>
      </c>
      <c r="F618" s="12" t="s">
        <v>1863</v>
      </c>
    </row>
    <row x14ac:dyDescent="0.25" r="619" customHeight="1" ht="18.75" hidden="1">
      <c r="A619" s="12" t="s">
        <v>1864</v>
      </c>
      <c r="B619" s="9">
        <v>45769</v>
      </c>
      <c r="C619" s="12" t="s">
        <v>2</v>
      </c>
      <c r="D619" s="12" t="s">
        <v>1864</v>
      </c>
      <c r="E619" s="12" t="s">
        <v>2</v>
      </c>
      <c r="F619" s="12" t="s">
        <v>1865</v>
      </c>
    </row>
    <row x14ac:dyDescent="0.25" r="620" customHeight="1" ht="18.75" hidden="1">
      <c r="A620" s="12" t="s">
        <v>1866</v>
      </c>
      <c r="B620" s="9">
        <v>45769</v>
      </c>
      <c r="C620" s="12" t="s">
        <v>3</v>
      </c>
      <c r="D620" s="12" t="s">
        <v>1867</v>
      </c>
      <c r="E620" s="12" t="s">
        <v>3</v>
      </c>
      <c r="F620" s="12" t="s">
        <v>1868</v>
      </c>
    </row>
    <row x14ac:dyDescent="0.25" r="621" customHeight="1" ht="18.75" hidden="1">
      <c r="A621" s="12" t="s">
        <v>1869</v>
      </c>
      <c r="B621" s="9">
        <v>45769</v>
      </c>
      <c r="C621" s="12" t="s">
        <v>2</v>
      </c>
      <c r="D621" s="12" t="s">
        <v>1870</v>
      </c>
      <c r="E621" s="12" t="s">
        <v>2</v>
      </c>
      <c r="F621" s="12" t="s">
        <v>1871</v>
      </c>
    </row>
    <row x14ac:dyDescent="0.25" r="622" customHeight="1" ht="18.75" hidden="1">
      <c r="A622" s="12" t="s">
        <v>1872</v>
      </c>
      <c r="B622" s="9">
        <v>45769</v>
      </c>
      <c r="C622" s="12" t="s">
        <v>3</v>
      </c>
      <c r="D622" s="12" t="s">
        <v>1873</v>
      </c>
      <c r="E622" s="12" t="s">
        <v>3</v>
      </c>
      <c r="F622" s="12" t="s">
        <v>1874</v>
      </c>
    </row>
    <row x14ac:dyDescent="0.25" r="623" customHeight="1" ht="18.75" hidden="1">
      <c r="A623" s="12" t="s">
        <v>1875</v>
      </c>
      <c r="B623" s="9">
        <v>45769</v>
      </c>
      <c r="C623" s="12" t="s">
        <v>3</v>
      </c>
      <c r="D623" s="12" t="s">
        <v>1876</v>
      </c>
      <c r="E623" s="12" t="s">
        <v>3</v>
      </c>
      <c r="F623" s="12" t="s">
        <v>1877</v>
      </c>
    </row>
    <row x14ac:dyDescent="0.25" r="624" customHeight="1" ht="18.75" hidden="1">
      <c r="A624" s="12" t="s">
        <v>1878</v>
      </c>
      <c r="B624" s="9">
        <v>45769</v>
      </c>
      <c r="C624" s="12" t="s">
        <v>3</v>
      </c>
      <c r="D624" s="12" t="s">
        <v>1879</v>
      </c>
      <c r="E624" s="12" t="s">
        <v>3</v>
      </c>
      <c r="F624" s="12" t="s">
        <v>1880</v>
      </c>
    </row>
    <row x14ac:dyDescent="0.25" r="625" customHeight="1" ht="18.75" hidden="1">
      <c r="A625" s="12" t="s">
        <v>1881</v>
      </c>
      <c r="B625" s="9">
        <v>45769</v>
      </c>
      <c r="C625" s="12" t="s">
        <v>2</v>
      </c>
      <c r="D625" s="12" t="s">
        <v>1882</v>
      </c>
      <c r="E625" s="12" t="s">
        <v>2</v>
      </c>
      <c r="F625" s="12" t="s">
        <v>1883</v>
      </c>
    </row>
    <row x14ac:dyDescent="0.25" r="626" customHeight="1" ht="18.75">
      <c r="A626" s="12" t="s">
        <v>1884</v>
      </c>
      <c r="B626" s="9">
        <v>45768</v>
      </c>
      <c r="C626" s="12" t="s">
        <v>3</v>
      </c>
      <c r="D626" s="12" t="s">
        <v>1885</v>
      </c>
      <c r="E626" s="12" t="s">
        <v>4</v>
      </c>
      <c r="F626" s="12" t="s">
        <v>1886</v>
      </c>
    </row>
    <row x14ac:dyDescent="0.25" r="627" customHeight="1" ht="18.75" hidden="1">
      <c r="A627" s="12" t="s">
        <v>1887</v>
      </c>
      <c r="B627" s="9">
        <v>45768</v>
      </c>
      <c r="C627" s="12" t="s">
        <v>3</v>
      </c>
      <c r="D627" s="12" t="s">
        <v>1888</v>
      </c>
      <c r="E627" s="12" t="s">
        <v>3</v>
      </c>
      <c r="F627" s="12" t="s">
        <v>1889</v>
      </c>
    </row>
    <row x14ac:dyDescent="0.25" r="628" customHeight="1" ht="18.75" hidden="1">
      <c r="A628" s="12" t="s">
        <v>1890</v>
      </c>
      <c r="B628" s="9">
        <v>45768</v>
      </c>
      <c r="C628" s="12" t="s">
        <v>3</v>
      </c>
      <c r="D628" s="12" t="s">
        <v>1891</v>
      </c>
      <c r="E628" s="12" t="s">
        <v>3</v>
      </c>
      <c r="F628" s="12" t="s">
        <v>1892</v>
      </c>
    </row>
    <row x14ac:dyDescent="0.25" r="629" customHeight="1" ht="18.75" hidden="1">
      <c r="A629" s="12" t="s">
        <v>1893</v>
      </c>
      <c r="B629" s="9">
        <v>45768</v>
      </c>
      <c r="C629" s="12" t="s">
        <v>3</v>
      </c>
      <c r="D629" s="12" t="s">
        <v>1894</v>
      </c>
      <c r="E629" s="12" t="s">
        <v>3</v>
      </c>
      <c r="F629" s="12" t="s">
        <v>1895</v>
      </c>
    </row>
    <row x14ac:dyDescent="0.25" r="630" customHeight="1" ht="18.75" hidden="1">
      <c r="A630" s="12" t="s">
        <v>1896</v>
      </c>
      <c r="B630" s="9">
        <v>45768</v>
      </c>
      <c r="C630" s="12" t="s">
        <v>3</v>
      </c>
      <c r="D630" s="12" t="s">
        <v>1897</v>
      </c>
      <c r="E630" s="12" t="s">
        <v>3</v>
      </c>
      <c r="F630" s="12" t="s">
        <v>1898</v>
      </c>
    </row>
    <row x14ac:dyDescent="0.25" r="631" customHeight="1" ht="18.75" hidden="1">
      <c r="A631" s="12" t="s">
        <v>1899</v>
      </c>
      <c r="B631" s="9">
        <v>45768</v>
      </c>
      <c r="C631" s="12" t="s">
        <v>3</v>
      </c>
      <c r="D631" s="12" t="s">
        <v>1900</v>
      </c>
      <c r="E631" s="12" t="s">
        <v>3</v>
      </c>
      <c r="F631" s="12" t="s">
        <v>1901</v>
      </c>
    </row>
    <row x14ac:dyDescent="0.25" r="632" customHeight="1" ht="18.75" hidden="1">
      <c r="A632" s="12" t="s">
        <v>1902</v>
      </c>
      <c r="B632" s="9">
        <v>45766</v>
      </c>
      <c r="C632" s="12" t="s">
        <v>3</v>
      </c>
      <c r="D632" s="12" t="s">
        <v>1903</v>
      </c>
      <c r="E632" s="12" t="s">
        <v>3</v>
      </c>
      <c r="F632" s="12" t="s">
        <v>1904</v>
      </c>
    </row>
    <row x14ac:dyDescent="0.25" r="633" customHeight="1" ht="18.75" hidden="1">
      <c r="A633" s="12" t="s">
        <v>1905</v>
      </c>
      <c r="B633" s="9">
        <v>45765</v>
      </c>
      <c r="C633" s="12" t="s">
        <v>2</v>
      </c>
      <c r="D633" s="12" t="s">
        <v>1906</v>
      </c>
      <c r="E633" s="12" t="s">
        <v>2</v>
      </c>
      <c r="F633" s="12" t="s">
        <v>1907</v>
      </c>
    </row>
    <row x14ac:dyDescent="0.25" r="634" customHeight="1" ht="18.75" hidden="1">
      <c r="A634" s="12" t="s">
        <v>1908</v>
      </c>
      <c r="B634" s="9">
        <v>45765</v>
      </c>
      <c r="C634" s="12" t="s">
        <v>2</v>
      </c>
      <c r="D634" s="12" t="s">
        <v>1909</v>
      </c>
      <c r="E634" s="12" t="s">
        <v>2</v>
      </c>
      <c r="F634" s="12" t="s">
        <v>1910</v>
      </c>
    </row>
    <row x14ac:dyDescent="0.25" r="635" customHeight="1" ht="18.75" hidden="1">
      <c r="A635" s="12" t="s">
        <v>1911</v>
      </c>
      <c r="B635" s="9">
        <v>45765</v>
      </c>
      <c r="C635" s="12" t="s">
        <v>3</v>
      </c>
      <c r="D635" s="12" t="s">
        <v>1912</v>
      </c>
      <c r="E635" s="12" t="s">
        <v>2</v>
      </c>
      <c r="F635" s="12" t="s">
        <v>1913</v>
      </c>
    </row>
    <row x14ac:dyDescent="0.25" r="636" customHeight="1" ht="18.75" hidden="1">
      <c r="A636" s="12" t="s">
        <v>1914</v>
      </c>
      <c r="B636" s="9">
        <v>45764</v>
      </c>
      <c r="C636" s="12" t="s">
        <v>2</v>
      </c>
      <c r="D636" s="12" t="s">
        <v>1915</v>
      </c>
      <c r="E636" s="12" t="s">
        <v>2</v>
      </c>
      <c r="F636" s="12" t="s">
        <v>1916</v>
      </c>
    </row>
    <row x14ac:dyDescent="0.25" r="637" customHeight="1" ht="18.75" hidden="1">
      <c r="A637" s="12" t="s">
        <v>1917</v>
      </c>
      <c r="B637" s="9">
        <v>45764</v>
      </c>
      <c r="C637" s="12" t="s">
        <v>3</v>
      </c>
      <c r="D637" s="12" t="s">
        <v>1918</v>
      </c>
      <c r="E637" s="12" t="s">
        <v>3</v>
      </c>
      <c r="F637" s="12" t="s">
        <v>1919</v>
      </c>
    </row>
    <row x14ac:dyDescent="0.25" r="638" customHeight="1" ht="18.75" hidden="1">
      <c r="A638" s="12" t="s">
        <v>1920</v>
      </c>
      <c r="B638" s="9">
        <v>45764</v>
      </c>
      <c r="C638" s="12" t="s">
        <v>2</v>
      </c>
      <c r="D638" s="12" t="s">
        <v>1921</v>
      </c>
      <c r="E638" s="12" t="s">
        <v>2</v>
      </c>
      <c r="F638" s="12" t="s">
        <v>1922</v>
      </c>
    </row>
    <row x14ac:dyDescent="0.25" r="639" customHeight="1" ht="18.75" hidden="1">
      <c r="A639" s="12" t="s">
        <v>1923</v>
      </c>
      <c r="B639" s="9">
        <v>45764</v>
      </c>
      <c r="C639" s="12" t="s">
        <v>2</v>
      </c>
      <c r="D639" s="12" t="s">
        <v>1924</v>
      </c>
      <c r="E639" s="12" t="s">
        <v>2</v>
      </c>
      <c r="F639" s="12" t="s">
        <v>1925</v>
      </c>
    </row>
    <row x14ac:dyDescent="0.25" r="640" customHeight="1" ht="18.75" hidden="1">
      <c r="A640" s="12" t="s">
        <v>1926</v>
      </c>
      <c r="B640" s="9">
        <v>45764</v>
      </c>
      <c r="C640" s="12" t="s">
        <v>3</v>
      </c>
      <c r="D640" s="12" t="s">
        <v>1927</v>
      </c>
      <c r="E640" s="12" t="s">
        <v>3</v>
      </c>
      <c r="F640" s="12" t="s">
        <v>1928</v>
      </c>
    </row>
    <row x14ac:dyDescent="0.25" r="641" customHeight="1" ht="18.75" hidden="1">
      <c r="A641" s="12" t="s">
        <v>1929</v>
      </c>
      <c r="B641" s="9">
        <v>45763</v>
      </c>
      <c r="C641" s="12" t="s">
        <v>3</v>
      </c>
      <c r="D641" s="12" t="s">
        <v>1930</v>
      </c>
      <c r="E641" s="12" t="s">
        <v>3</v>
      </c>
      <c r="F641" s="12" t="s">
        <v>1931</v>
      </c>
    </row>
    <row x14ac:dyDescent="0.25" r="642" customHeight="1" ht="18.75" hidden="1">
      <c r="A642" s="12" t="s">
        <v>1932</v>
      </c>
      <c r="B642" s="9">
        <v>45763</v>
      </c>
      <c r="C642" s="12" t="s">
        <v>2</v>
      </c>
      <c r="D642" s="12" t="s">
        <v>1933</v>
      </c>
      <c r="E642" s="12" t="s">
        <v>2</v>
      </c>
      <c r="F642" s="12" t="s">
        <v>1934</v>
      </c>
    </row>
    <row x14ac:dyDescent="0.25" r="643" customHeight="1" ht="18.75" hidden="1">
      <c r="A643" s="12" t="s">
        <v>1935</v>
      </c>
      <c r="B643" s="9">
        <v>45763</v>
      </c>
      <c r="C643" s="12" t="s">
        <v>3</v>
      </c>
      <c r="D643" s="12" t="s">
        <v>1936</v>
      </c>
      <c r="E643" s="12" t="s">
        <v>3</v>
      </c>
      <c r="F643" s="12" t="s">
        <v>1937</v>
      </c>
    </row>
    <row x14ac:dyDescent="0.25" r="644" customHeight="1" ht="18.75" hidden="1">
      <c r="A644" s="12" t="s">
        <v>1938</v>
      </c>
      <c r="B644" s="9">
        <v>45763</v>
      </c>
      <c r="C644" s="12" t="s">
        <v>3</v>
      </c>
      <c r="D644" s="12" t="s">
        <v>1939</v>
      </c>
      <c r="E644" s="12" t="s">
        <v>3</v>
      </c>
      <c r="F644" s="12" t="s">
        <v>1940</v>
      </c>
    </row>
    <row x14ac:dyDescent="0.25" r="645" customHeight="1" ht="18.75">
      <c r="A645" s="12" t="s">
        <v>1941</v>
      </c>
      <c r="B645" s="9">
        <v>45763</v>
      </c>
      <c r="C645" s="12" t="s">
        <v>101</v>
      </c>
      <c r="D645" s="12" t="s">
        <v>1942</v>
      </c>
      <c r="E645" s="12" t="s">
        <v>13</v>
      </c>
      <c r="F645" s="12" t="s">
        <v>1943</v>
      </c>
    </row>
    <row x14ac:dyDescent="0.25" r="646" customHeight="1" ht="18.75" hidden="1">
      <c r="A646" s="12" t="s">
        <v>1944</v>
      </c>
      <c r="B646" s="9">
        <v>45763</v>
      </c>
      <c r="C646" s="12" t="s">
        <v>2</v>
      </c>
      <c r="D646" s="12" t="s">
        <v>1945</v>
      </c>
      <c r="E646" s="12" t="s">
        <v>2</v>
      </c>
      <c r="F646" s="12" t="s">
        <v>1946</v>
      </c>
    </row>
    <row x14ac:dyDescent="0.25" r="647" customHeight="1" ht="18.75" hidden="1">
      <c r="A647" s="12" t="s">
        <v>1947</v>
      </c>
      <c r="B647" s="9">
        <v>45763</v>
      </c>
      <c r="C647" s="12" t="s">
        <v>2</v>
      </c>
      <c r="D647" s="12" t="s">
        <v>1948</v>
      </c>
      <c r="E647" s="12" t="s">
        <v>2</v>
      </c>
      <c r="F647" s="12" t="s">
        <v>1949</v>
      </c>
    </row>
    <row x14ac:dyDescent="0.25" r="648" customHeight="1" ht="18.75" hidden="1">
      <c r="A648" s="12" t="s">
        <v>1950</v>
      </c>
      <c r="B648" s="9">
        <v>45763</v>
      </c>
      <c r="C648" s="12" t="s">
        <v>2</v>
      </c>
      <c r="D648" s="12" t="s">
        <v>1951</v>
      </c>
      <c r="E648" s="12" t="s">
        <v>2</v>
      </c>
      <c r="F648" s="12" t="s">
        <v>1952</v>
      </c>
    </row>
    <row x14ac:dyDescent="0.25" r="649" customHeight="1" ht="18.75" hidden="1">
      <c r="A649" s="12" t="s">
        <v>1953</v>
      </c>
      <c r="B649" s="9">
        <v>45763</v>
      </c>
      <c r="C649" s="12" t="s">
        <v>2</v>
      </c>
      <c r="D649" s="12" t="s">
        <v>1954</v>
      </c>
      <c r="E649" s="12" t="s">
        <v>2</v>
      </c>
      <c r="F649" s="12" t="s">
        <v>1955</v>
      </c>
    </row>
    <row x14ac:dyDescent="0.25" r="650" customHeight="1" ht="18.75" hidden="1">
      <c r="A650" s="12" t="s">
        <v>1956</v>
      </c>
      <c r="B650" s="9">
        <v>45762</v>
      </c>
      <c r="C650" s="12" t="s">
        <v>2</v>
      </c>
      <c r="D650" s="12" t="s">
        <v>1957</v>
      </c>
      <c r="E650" s="12" t="s">
        <v>2</v>
      </c>
      <c r="F650" s="12" t="s">
        <v>1958</v>
      </c>
    </row>
    <row x14ac:dyDescent="0.25" r="651" customHeight="1" ht="18.75" hidden="1">
      <c r="A651" s="12" t="s">
        <v>1959</v>
      </c>
      <c r="B651" s="9">
        <v>45762</v>
      </c>
      <c r="C651" s="12" t="s">
        <v>2</v>
      </c>
      <c r="D651" s="12" t="s">
        <v>1960</v>
      </c>
      <c r="E651" s="12" t="s">
        <v>2</v>
      </c>
      <c r="F651" s="12" t="s">
        <v>1961</v>
      </c>
    </row>
    <row x14ac:dyDescent="0.25" r="652" customHeight="1" ht="18.75" hidden="1">
      <c r="A652" s="12" t="s">
        <v>1962</v>
      </c>
      <c r="B652" s="9">
        <v>45762</v>
      </c>
      <c r="C652" s="12" t="s">
        <v>3</v>
      </c>
      <c r="D652" s="12" t="s">
        <v>1963</v>
      </c>
      <c r="E652" s="12" t="s">
        <v>3</v>
      </c>
      <c r="F652" s="12" t="s">
        <v>1964</v>
      </c>
    </row>
    <row x14ac:dyDescent="0.25" r="653" customHeight="1" ht="18.75" hidden="1">
      <c r="A653" s="12" t="s">
        <v>1965</v>
      </c>
      <c r="B653" s="9">
        <v>45762</v>
      </c>
      <c r="C653" s="12" t="s">
        <v>3</v>
      </c>
      <c r="D653" s="12" t="s">
        <v>1966</v>
      </c>
      <c r="E653" s="12" t="s">
        <v>3</v>
      </c>
      <c r="F653" s="12" t="s">
        <v>1967</v>
      </c>
    </row>
    <row x14ac:dyDescent="0.25" r="654" customHeight="1" ht="18.75" hidden="1">
      <c r="A654" s="12" t="s">
        <v>1968</v>
      </c>
      <c r="B654" s="9">
        <v>45762</v>
      </c>
      <c r="C654" s="12" t="s">
        <v>3</v>
      </c>
      <c r="D654" s="12" t="s">
        <v>1969</v>
      </c>
      <c r="E654" s="12" t="s">
        <v>3</v>
      </c>
      <c r="F654" s="12" t="s">
        <v>1970</v>
      </c>
    </row>
    <row x14ac:dyDescent="0.25" r="655" customHeight="1" ht="18.75" hidden="1">
      <c r="A655" s="12" t="s">
        <v>1971</v>
      </c>
      <c r="B655" s="9">
        <v>45762</v>
      </c>
      <c r="C655" s="12" t="s">
        <v>3</v>
      </c>
      <c r="D655" s="12" t="s">
        <v>1972</v>
      </c>
      <c r="E655" s="12" t="s">
        <v>3</v>
      </c>
      <c r="F655" s="12" t="s">
        <v>1973</v>
      </c>
    </row>
    <row x14ac:dyDescent="0.25" r="656" customHeight="1" ht="18.75" hidden="1">
      <c r="A656" s="12" t="s">
        <v>1974</v>
      </c>
      <c r="B656" s="9">
        <v>45762</v>
      </c>
      <c r="C656" s="12" t="s">
        <v>3</v>
      </c>
      <c r="D656" s="12" t="s">
        <v>1975</v>
      </c>
      <c r="E656" s="12" t="s">
        <v>3</v>
      </c>
      <c r="F656" s="12" t="s">
        <v>1976</v>
      </c>
    </row>
    <row x14ac:dyDescent="0.25" r="657" customHeight="1" ht="18.75" hidden="1">
      <c r="A657" s="12" t="s">
        <v>1977</v>
      </c>
      <c r="B657" s="9">
        <v>45762</v>
      </c>
      <c r="C657" s="12" t="s">
        <v>3</v>
      </c>
      <c r="D657" s="12" t="s">
        <v>1978</v>
      </c>
      <c r="E657" s="12" t="s">
        <v>3</v>
      </c>
      <c r="F657" s="12" t="s">
        <v>1979</v>
      </c>
    </row>
    <row x14ac:dyDescent="0.25" r="658" customHeight="1" ht="18.75">
      <c r="A658" s="12" t="s">
        <v>1980</v>
      </c>
      <c r="B658" s="9">
        <v>45762</v>
      </c>
      <c r="C658" s="12" t="s">
        <v>101</v>
      </c>
      <c r="D658" s="12" t="s">
        <v>1981</v>
      </c>
      <c r="E658" s="12" t="s">
        <v>13</v>
      </c>
      <c r="F658" s="12" t="s">
        <v>1982</v>
      </c>
    </row>
    <row x14ac:dyDescent="0.25" r="659" customHeight="1" ht="18.75" hidden="1">
      <c r="A659" s="12" t="s">
        <v>1983</v>
      </c>
      <c r="B659" s="9">
        <v>45762</v>
      </c>
      <c r="C659" s="12" t="s">
        <v>3</v>
      </c>
      <c r="D659" s="12" t="s">
        <v>1984</v>
      </c>
      <c r="E659" s="12" t="s">
        <v>3</v>
      </c>
      <c r="F659" s="12" t="s">
        <v>1985</v>
      </c>
    </row>
    <row x14ac:dyDescent="0.25" r="660" customHeight="1" ht="18.75" hidden="1">
      <c r="A660" s="12" t="s">
        <v>1986</v>
      </c>
      <c r="B660" s="9">
        <v>45761</v>
      </c>
      <c r="C660" s="12" t="s">
        <v>3</v>
      </c>
      <c r="D660" s="12" t="s">
        <v>1987</v>
      </c>
      <c r="E660" s="12" t="s">
        <v>3</v>
      </c>
      <c r="F660" s="12" t="s">
        <v>1988</v>
      </c>
    </row>
    <row x14ac:dyDescent="0.25" r="661" customHeight="1" ht="18.75" hidden="1">
      <c r="A661" s="12" t="s">
        <v>1989</v>
      </c>
      <c r="B661" s="9">
        <v>45761</v>
      </c>
      <c r="C661" s="12" t="s">
        <v>2</v>
      </c>
      <c r="D661" s="12" t="s">
        <v>1990</v>
      </c>
      <c r="E661" s="12" t="s">
        <v>2</v>
      </c>
      <c r="F661" s="12" t="s">
        <v>1991</v>
      </c>
    </row>
    <row x14ac:dyDescent="0.25" r="662" customHeight="1" ht="18.75" hidden="1">
      <c r="A662" s="12" t="s">
        <v>1992</v>
      </c>
      <c r="B662" s="9">
        <v>45761</v>
      </c>
      <c r="C662" s="12" t="s">
        <v>3</v>
      </c>
      <c r="D662" s="12" t="s">
        <v>1993</v>
      </c>
      <c r="E662" s="12" t="s">
        <v>3</v>
      </c>
      <c r="F662" s="12" t="s">
        <v>1994</v>
      </c>
    </row>
    <row x14ac:dyDescent="0.25" r="663" customHeight="1" ht="18.75" hidden="1">
      <c r="A663" s="12" t="s">
        <v>1995</v>
      </c>
      <c r="B663" s="9">
        <v>45761</v>
      </c>
      <c r="C663" s="12" t="s">
        <v>3</v>
      </c>
      <c r="D663" s="12" t="s">
        <v>1996</v>
      </c>
      <c r="E663" s="12" t="s">
        <v>3</v>
      </c>
      <c r="F663" s="12" t="s">
        <v>1997</v>
      </c>
    </row>
    <row x14ac:dyDescent="0.25" r="664" customHeight="1" ht="18.75">
      <c r="A664" s="12" t="s">
        <v>1998</v>
      </c>
      <c r="B664" s="9">
        <v>45761</v>
      </c>
      <c r="C664" s="12" t="s">
        <v>101</v>
      </c>
      <c r="D664" s="12" t="s">
        <v>1999</v>
      </c>
      <c r="E664" s="12" t="s">
        <v>13</v>
      </c>
      <c r="F664" s="12" t="s">
        <v>2000</v>
      </c>
    </row>
    <row x14ac:dyDescent="0.25" r="665" customHeight="1" ht="18.75" hidden="1">
      <c r="A665" s="12" t="s">
        <v>2001</v>
      </c>
      <c r="B665" s="9">
        <v>45761</v>
      </c>
      <c r="C665" s="12" t="s">
        <v>3</v>
      </c>
      <c r="D665" s="12" t="s">
        <v>2002</v>
      </c>
      <c r="E665" s="12" t="s">
        <v>3</v>
      </c>
      <c r="F665" s="12" t="s">
        <v>2003</v>
      </c>
    </row>
    <row x14ac:dyDescent="0.25" r="666" customHeight="1" ht="18.75" hidden="1">
      <c r="A666" s="12" t="s">
        <v>2004</v>
      </c>
      <c r="B666" s="9">
        <v>45760</v>
      </c>
      <c r="C666" s="12" t="s">
        <v>3</v>
      </c>
      <c r="D666" s="12" t="s">
        <v>2005</v>
      </c>
      <c r="E666" s="12" t="s">
        <v>3</v>
      </c>
      <c r="F666" s="12" t="s">
        <v>2006</v>
      </c>
    </row>
    <row x14ac:dyDescent="0.25" r="667" customHeight="1" ht="18.75" hidden="1">
      <c r="A667" s="12" t="s">
        <v>2007</v>
      </c>
      <c r="B667" s="9">
        <v>45760</v>
      </c>
      <c r="C667" s="12" t="s">
        <v>3</v>
      </c>
      <c r="D667" s="12" t="s">
        <v>2008</v>
      </c>
      <c r="E667" s="12" t="s">
        <v>3</v>
      </c>
      <c r="F667" s="12" t="s">
        <v>2009</v>
      </c>
    </row>
    <row x14ac:dyDescent="0.25" r="668" customHeight="1" ht="18.75" hidden="1">
      <c r="A668" s="12" t="s">
        <v>2010</v>
      </c>
      <c r="B668" s="9">
        <v>45760</v>
      </c>
      <c r="C668" s="12" t="s">
        <v>3</v>
      </c>
      <c r="D668" s="12" t="s">
        <v>2011</v>
      </c>
      <c r="E668" s="12" t="s">
        <v>3</v>
      </c>
      <c r="F668" s="12" t="s">
        <v>2012</v>
      </c>
    </row>
    <row x14ac:dyDescent="0.25" r="669" customHeight="1" ht="18.75" hidden="1">
      <c r="A669" s="12" t="s">
        <v>2013</v>
      </c>
      <c r="B669" s="9">
        <v>45759</v>
      </c>
      <c r="C669" s="12" t="s">
        <v>2</v>
      </c>
      <c r="D669" s="12" t="s">
        <v>2014</v>
      </c>
      <c r="E669" s="12" t="s">
        <v>2</v>
      </c>
      <c r="F669" s="12" t="s">
        <v>2015</v>
      </c>
    </row>
    <row x14ac:dyDescent="0.25" r="670" customHeight="1" ht="18.75" hidden="1">
      <c r="A670" s="12" t="s">
        <v>2016</v>
      </c>
      <c r="B670" s="9">
        <v>45759</v>
      </c>
      <c r="C670" s="12" t="s">
        <v>3</v>
      </c>
      <c r="D670" s="12" t="s">
        <v>2017</v>
      </c>
      <c r="E670" s="12" t="s">
        <v>3</v>
      </c>
      <c r="F670" s="12" t="s">
        <v>2018</v>
      </c>
    </row>
    <row x14ac:dyDescent="0.25" r="671" customHeight="1" ht="18.75" hidden="1">
      <c r="A671" s="12" t="s">
        <v>2019</v>
      </c>
      <c r="B671" s="9">
        <v>45759</v>
      </c>
      <c r="C671" s="12" t="s">
        <v>2</v>
      </c>
      <c r="D671" s="12" t="s">
        <v>2020</v>
      </c>
      <c r="E671" s="12" t="s">
        <v>2</v>
      </c>
      <c r="F671" s="12" t="s">
        <v>2021</v>
      </c>
    </row>
    <row x14ac:dyDescent="0.25" r="672" customHeight="1" ht="18.75" hidden="1">
      <c r="A672" s="12" t="s">
        <v>2022</v>
      </c>
      <c r="B672" s="9">
        <v>45759</v>
      </c>
      <c r="C672" s="12" t="s">
        <v>3</v>
      </c>
      <c r="D672" s="12" t="s">
        <v>2023</v>
      </c>
      <c r="E672" s="12" t="s">
        <v>3</v>
      </c>
      <c r="F672" s="12" t="s">
        <v>2024</v>
      </c>
    </row>
    <row x14ac:dyDescent="0.25" r="673" customHeight="1" ht="18.75">
      <c r="A673" s="12" t="s">
        <v>2025</v>
      </c>
      <c r="B673" s="9">
        <v>45758</v>
      </c>
      <c r="C673" s="12" t="s">
        <v>101</v>
      </c>
      <c r="D673" s="12" t="s">
        <v>2026</v>
      </c>
      <c r="E673" s="12" t="s">
        <v>4</v>
      </c>
      <c r="F673" s="12" t="s">
        <v>2027</v>
      </c>
    </row>
    <row x14ac:dyDescent="0.25" r="674" customHeight="1" ht="18.75" hidden="1">
      <c r="A674" s="12" t="s">
        <v>2028</v>
      </c>
      <c r="B674" s="9">
        <v>45758</v>
      </c>
      <c r="C674" s="12" t="s">
        <v>3</v>
      </c>
      <c r="D674" s="12" t="s">
        <v>2029</v>
      </c>
      <c r="E674" s="12" t="s">
        <v>3</v>
      </c>
      <c r="F674" s="12" t="s">
        <v>2030</v>
      </c>
    </row>
    <row x14ac:dyDescent="0.25" r="675" customHeight="1" ht="18.75" hidden="1">
      <c r="A675" s="12" t="s">
        <v>2031</v>
      </c>
      <c r="B675" s="9">
        <v>45758</v>
      </c>
      <c r="C675" s="12" t="s">
        <v>3</v>
      </c>
      <c r="D675" s="12" t="s">
        <v>2032</v>
      </c>
      <c r="E675" s="12" t="s">
        <v>3</v>
      </c>
      <c r="F675" s="12" t="s">
        <v>2033</v>
      </c>
    </row>
    <row x14ac:dyDescent="0.25" r="676" customHeight="1" ht="18.75" hidden="1">
      <c r="A676" s="12" t="s">
        <v>2034</v>
      </c>
      <c r="B676" s="9">
        <v>45758</v>
      </c>
      <c r="C676" s="12" t="s">
        <v>2</v>
      </c>
      <c r="D676" s="12" t="s">
        <v>2035</v>
      </c>
      <c r="E676" s="12" t="s">
        <v>2</v>
      </c>
      <c r="F676" s="12" t="s">
        <v>2036</v>
      </c>
    </row>
    <row x14ac:dyDescent="0.25" r="677" customHeight="1" ht="18.75" hidden="1">
      <c r="A677" s="12" t="s">
        <v>2037</v>
      </c>
      <c r="B677" s="9">
        <v>45758</v>
      </c>
      <c r="C677" s="12" t="s">
        <v>2</v>
      </c>
      <c r="D677" s="12" t="s">
        <v>2038</v>
      </c>
      <c r="E677" s="12" t="s">
        <v>2</v>
      </c>
      <c r="F677" s="12" t="s">
        <v>2039</v>
      </c>
    </row>
    <row x14ac:dyDescent="0.25" r="678" customHeight="1" ht="18.75" hidden="1">
      <c r="A678" s="12" t="s">
        <v>2040</v>
      </c>
      <c r="B678" s="9">
        <v>45758</v>
      </c>
      <c r="C678" s="12" t="s">
        <v>2</v>
      </c>
      <c r="D678" s="12" t="s">
        <v>2041</v>
      </c>
      <c r="E678" s="12" t="s">
        <v>2</v>
      </c>
      <c r="F678" s="12" t="s">
        <v>2042</v>
      </c>
    </row>
    <row x14ac:dyDescent="0.25" r="679" customHeight="1" ht="18.75" hidden="1">
      <c r="A679" s="12" t="s">
        <v>2043</v>
      </c>
      <c r="B679" s="9">
        <v>45758</v>
      </c>
      <c r="C679" s="12" t="s">
        <v>3</v>
      </c>
      <c r="D679" s="12" t="s">
        <v>2044</v>
      </c>
      <c r="E679" s="12" t="s">
        <v>3</v>
      </c>
      <c r="F679" s="12" t="s">
        <v>2045</v>
      </c>
    </row>
    <row x14ac:dyDescent="0.25" r="680" customHeight="1" ht="18.75">
      <c r="A680" s="12" t="s">
        <v>2046</v>
      </c>
      <c r="B680" s="9">
        <v>45758</v>
      </c>
      <c r="C680" s="12" t="s">
        <v>101</v>
      </c>
      <c r="D680" s="12" t="s">
        <v>2047</v>
      </c>
      <c r="E680" s="12" t="s">
        <v>13</v>
      </c>
      <c r="F680" s="12" t="s">
        <v>2048</v>
      </c>
    </row>
    <row x14ac:dyDescent="0.25" r="681" customHeight="1" ht="18.75" hidden="1">
      <c r="A681" s="12" t="s">
        <v>2049</v>
      </c>
      <c r="B681" s="9">
        <v>45758</v>
      </c>
      <c r="C681" s="12" t="s">
        <v>3</v>
      </c>
      <c r="D681" s="12" t="s">
        <v>2050</v>
      </c>
      <c r="E681" s="12" t="s">
        <v>3</v>
      </c>
      <c r="F681" s="12" t="s">
        <v>2051</v>
      </c>
    </row>
    <row x14ac:dyDescent="0.25" r="682" customHeight="1" ht="18.75" hidden="1">
      <c r="A682" s="12" t="s">
        <v>2052</v>
      </c>
      <c r="B682" s="9">
        <v>45758</v>
      </c>
      <c r="C682" s="12" t="s">
        <v>3</v>
      </c>
      <c r="D682" s="12" t="s">
        <v>2053</v>
      </c>
      <c r="E682" s="12" t="s">
        <v>3</v>
      </c>
      <c r="F682" s="12" t="s">
        <v>2054</v>
      </c>
    </row>
    <row x14ac:dyDescent="0.25" r="683" customHeight="1" ht="18.75" hidden="1">
      <c r="A683" s="12" t="s">
        <v>2055</v>
      </c>
      <c r="B683" s="9">
        <v>45758</v>
      </c>
      <c r="C683" s="12" t="s">
        <v>3</v>
      </c>
      <c r="D683" s="12" t="s">
        <v>2056</v>
      </c>
      <c r="E683" s="12" t="s">
        <v>3</v>
      </c>
      <c r="F683" s="12" t="s">
        <v>2057</v>
      </c>
    </row>
    <row x14ac:dyDescent="0.25" r="684" customHeight="1" ht="18.75" hidden="1">
      <c r="A684" s="12" t="s">
        <v>2058</v>
      </c>
      <c r="B684" s="9">
        <v>45757</v>
      </c>
      <c r="C684" s="12" t="s">
        <v>3</v>
      </c>
      <c r="D684" s="12" t="s">
        <v>2058</v>
      </c>
      <c r="E684" s="12" t="s">
        <v>3</v>
      </c>
      <c r="F684" s="12" t="s">
        <v>2059</v>
      </c>
    </row>
    <row x14ac:dyDescent="0.25" r="685" customHeight="1" ht="18.75" hidden="1">
      <c r="A685" s="12" t="s">
        <v>2060</v>
      </c>
      <c r="B685" s="9">
        <v>45757</v>
      </c>
      <c r="C685" s="12" t="s">
        <v>3</v>
      </c>
      <c r="D685" s="12" t="s">
        <v>2061</v>
      </c>
      <c r="E685" s="12" t="s">
        <v>3</v>
      </c>
      <c r="F685" s="12" t="s">
        <v>2062</v>
      </c>
    </row>
    <row x14ac:dyDescent="0.25" r="686" customHeight="1" ht="18.75" hidden="1">
      <c r="A686" s="12" t="s">
        <v>2063</v>
      </c>
      <c r="B686" s="9">
        <v>45757</v>
      </c>
      <c r="C686" s="12" t="s">
        <v>3</v>
      </c>
      <c r="D686" s="12" t="s">
        <v>2064</v>
      </c>
      <c r="E686" s="12" t="s">
        <v>3</v>
      </c>
      <c r="F686" s="12" t="s">
        <v>2065</v>
      </c>
    </row>
    <row x14ac:dyDescent="0.25" r="687" customHeight="1" ht="18.75" hidden="1">
      <c r="A687" s="12" t="s">
        <v>2066</v>
      </c>
      <c r="B687" s="9">
        <v>45757</v>
      </c>
      <c r="C687" s="12" t="s">
        <v>3</v>
      </c>
      <c r="D687" s="12" t="s">
        <v>2067</v>
      </c>
      <c r="E687" s="12" t="s">
        <v>3</v>
      </c>
      <c r="F687" s="12" t="s">
        <v>2068</v>
      </c>
    </row>
    <row x14ac:dyDescent="0.25" r="688" customHeight="1" ht="18.75" hidden="1">
      <c r="A688" s="12" t="s">
        <v>2069</v>
      </c>
      <c r="B688" s="9">
        <v>45757</v>
      </c>
      <c r="C688" s="12" t="s">
        <v>3</v>
      </c>
      <c r="D688" s="12" t="s">
        <v>2070</v>
      </c>
      <c r="E688" s="12" t="s">
        <v>3</v>
      </c>
      <c r="F688" s="12" t="s">
        <v>2071</v>
      </c>
    </row>
    <row x14ac:dyDescent="0.25" r="689" customHeight="1" ht="18.75" hidden="1">
      <c r="A689" s="12" t="s">
        <v>2072</v>
      </c>
      <c r="B689" s="9">
        <v>45757</v>
      </c>
      <c r="C689" s="12" t="s">
        <v>3</v>
      </c>
      <c r="D689" s="12" t="s">
        <v>2073</v>
      </c>
      <c r="E689" s="12" t="s">
        <v>3</v>
      </c>
      <c r="F689" s="12" t="s">
        <v>2074</v>
      </c>
    </row>
    <row x14ac:dyDescent="0.25" r="690" customHeight="1" ht="18.75" hidden="1">
      <c r="A690" s="12" t="s">
        <v>2075</v>
      </c>
      <c r="B690" s="9">
        <v>45757</v>
      </c>
      <c r="C690" s="12" t="s">
        <v>3</v>
      </c>
      <c r="D690" s="12" t="s">
        <v>2076</v>
      </c>
      <c r="E690" s="12" t="s">
        <v>3</v>
      </c>
      <c r="F690" s="12" t="s">
        <v>2077</v>
      </c>
    </row>
    <row x14ac:dyDescent="0.25" r="691" customHeight="1" ht="18.75" hidden="1">
      <c r="A691" s="12" t="s">
        <v>2078</v>
      </c>
      <c r="B691" s="9">
        <v>45757</v>
      </c>
      <c r="C691" s="12" t="s">
        <v>2</v>
      </c>
      <c r="D691" s="12" t="s">
        <v>2079</v>
      </c>
      <c r="E691" s="12" t="s">
        <v>3</v>
      </c>
      <c r="F691" s="12" t="s">
        <v>2080</v>
      </c>
    </row>
    <row x14ac:dyDescent="0.25" r="692" customHeight="1" ht="18.75" hidden="1">
      <c r="A692" s="12" t="s">
        <v>2081</v>
      </c>
      <c r="B692" s="9">
        <v>45757</v>
      </c>
      <c r="C692" s="12" t="s">
        <v>3</v>
      </c>
      <c r="D692" s="12" t="s">
        <v>2082</v>
      </c>
      <c r="E692" s="12" t="s">
        <v>3</v>
      </c>
      <c r="F692" s="12" t="s">
        <v>2083</v>
      </c>
    </row>
    <row x14ac:dyDescent="0.25" r="693" customHeight="1" ht="18.75" hidden="1">
      <c r="A693" s="12" t="s">
        <v>2084</v>
      </c>
      <c r="B693" s="9">
        <v>45756</v>
      </c>
      <c r="C693" s="12" t="s">
        <v>3</v>
      </c>
      <c r="D693" s="12" t="s">
        <v>2085</v>
      </c>
      <c r="E693" s="12" t="s">
        <v>3</v>
      </c>
      <c r="F693" s="12" t="s">
        <v>2086</v>
      </c>
    </row>
    <row x14ac:dyDescent="0.25" r="694" customHeight="1" ht="18.75" hidden="1">
      <c r="A694" s="12" t="s">
        <v>2087</v>
      </c>
      <c r="B694" s="9">
        <v>45756</v>
      </c>
      <c r="C694" s="12" t="s">
        <v>3</v>
      </c>
      <c r="D694" s="12" t="s">
        <v>2088</v>
      </c>
      <c r="E694" s="12" t="s">
        <v>3</v>
      </c>
      <c r="F694" s="12" t="s">
        <v>2089</v>
      </c>
    </row>
    <row x14ac:dyDescent="0.25" r="695" customHeight="1" ht="18.75" hidden="1">
      <c r="A695" s="12" t="s">
        <v>2090</v>
      </c>
      <c r="B695" s="9">
        <v>45756</v>
      </c>
      <c r="C695" s="12" t="s">
        <v>3</v>
      </c>
      <c r="D695" s="12" t="s">
        <v>2091</v>
      </c>
      <c r="E695" s="12" t="s">
        <v>3</v>
      </c>
      <c r="F695" s="12" t="s">
        <v>2092</v>
      </c>
    </row>
    <row x14ac:dyDescent="0.25" r="696" customHeight="1" ht="18.75" hidden="1">
      <c r="A696" s="12" t="s">
        <v>2093</v>
      </c>
      <c r="B696" s="9">
        <v>45756</v>
      </c>
      <c r="C696" s="12" t="s">
        <v>2</v>
      </c>
      <c r="D696" s="12" t="s">
        <v>2094</v>
      </c>
      <c r="E696" s="12" t="s">
        <v>2</v>
      </c>
      <c r="F696" s="12" t="s">
        <v>2095</v>
      </c>
    </row>
    <row x14ac:dyDescent="0.25" r="697" customHeight="1" ht="18.75" hidden="1">
      <c r="A697" s="12" t="s">
        <v>2096</v>
      </c>
      <c r="B697" s="9">
        <v>45756</v>
      </c>
      <c r="C697" s="12" t="s">
        <v>2</v>
      </c>
      <c r="D697" s="12" t="s">
        <v>2097</v>
      </c>
      <c r="E697" s="12" t="s">
        <v>2</v>
      </c>
      <c r="F697" s="12" t="s">
        <v>2098</v>
      </c>
    </row>
    <row x14ac:dyDescent="0.25" r="698" customHeight="1" ht="18.75" hidden="1">
      <c r="A698" s="12" t="s">
        <v>2099</v>
      </c>
      <c r="B698" s="9">
        <v>45756</v>
      </c>
      <c r="C698" s="12" t="s">
        <v>3</v>
      </c>
      <c r="D698" s="12" t="s">
        <v>2100</v>
      </c>
      <c r="E698" s="12" t="s">
        <v>3</v>
      </c>
      <c r="F698" s="12" t="s">
        <v>2101</v>
      </c>
    </row>
    <row x14ac:dyDescent="0.25" r="699" customHeight="1" ht="18.75" hidden="1">
      <c r="A699" s="12" t="s">
        <v>2102</v>
      </c>
      <c r="B699" s="9">
        <v>45756</v>
      </c>
      <c r="C699" s="12" t="s">
        <v>2</v>
      </c>
      <c r="D699" s="12" t="s">
        <v>2103</v>
      </c>
      <c r="E699" s="12" t="s">
        <v>2</v>
      </c>
      <c r="F699" s="12" t="s">
        <v>2104</v>
      </c>
    </row>
    <row x14ac:dyDescent="0.25" r="700" customHeight="1" ht="18.75" hidden="1">
      <c r="A700" s="12" t="s">
        <v>2105</v>
      </c>
      <c r="B700" s="9">
        <v>45756</v>
      </c>
      <c r="C700" s="12" t="s">
        <v>3</v>
      </c>
      <c r="D700" s="12" t="s">
        <v>2106</v>
      </c>
      <c r="E700" s="12" t="s">
        <v>3</v>
      </c>
      <c r="F700" s="12" t="s">
        <v>2107</v>
      </c>
    </row>
    <row x14ac:dyDescent="0.25" r="701" customHeight="1" ht="18.75" hidden="1">
      <c r="A701" s="12" t="s">
        <v>2108</v>
      </c>
      <c r="B701" s="9">
        <v>45756</v>
      </c>
      <c r="C701" s="12" t="s">
        <v>2</v>
      </c>
      <c r="D701" s="12" t="s">
        <v>2109</v>
      </c>
      <c r="E701" s="12" t="s">
        <v>2</v>
      </c>
      <c r="F701" s="12" t="s">
        <v>2110</v>
      </c>
    </row>
    <row x14ac:dyDescent="0.25" r="702" customHeight="1" ht="18.75" hidden="1">
      <c r="A702" s="12" t="s">
        <v>2111</v>
      </c>
      <c r="B702" s="9">
        <v>45756</v>
      </c>
      <c r="C702" s="12" t="s">
        <v>3</v>
      </c>
      <c r="D702" s="12" t="s">
        <v>2112</v>
      </c>
      <c r="E702" s="12" t="s">
        <v>3</v>
      </c>
      <c r="F702" s="12" t="s">
        <v>2113</v>
      </c>
    </row>
    <row x14ac:dyDescent="0.25" r="703" customHeight="1" ht="18.75" hidden="1">
      <c r="A703" s="12" t="s">
        <v>2114</v>
      </c>
      <c r="B703" s="9">
        <v>45756</v>
      </c>
      <c r="C703" s="12" t="s">
        <v>3</v>
      </c>
      <c r="D703" s="12" t="s">
        <v>2115</v>
      </c>
      <c r="E703" s="12" t="s">
        <v>3</v>
      </c>
      <c r="F703" s="12" t="s">
        <v>2116</v>
      </c>
    </row>
    <row x14ac:dyDescent="0.25" r="704" customHeight="1" ht="18.75" hidden="1">
      <c r="A704" s="12" t="s">
        <v>2117</v>
      </c>
      <c r="B704" s="9">
        <v>45756</v>
      </c>
      <c r="C704" s="12" t="s">
        <v>2</v>
      </c>
      <c r="D704" s="12" t="s">
        <v>2118</v>
      </c>
      <c r="E704" s="12" t="s">
        <v>2</v>
      </c>
      <c r="F704" s="12" t="s">
        <v>2119</v>
      </c>
    </row>
    <row x14ac:dyDescent="0.25" r="705" customHeight="1" ht="18.75" hidden="1">
      <c r="A705" s="12" t="s">
        <v>2120</v>
      </c>
      <c r="B705" s="9">
        <v>45756</v>
      </c>
      <c r="C705" s="12" t="s">
        <v>3</v>
      </c>
      <c r="D705" s="12" t="s">
        <v>2121</v>
      </c>
      <c r="E705" s="12" t="s">
        <v>3</v>
      </c>
      <c r="F705" s="12" t="s">
        <v>2122</v>
      </c>
    </row>
    <row x14ac:dyDescent="0.25" r="706" customHeight="1" ht="18.75" hidden="1">
      <c r="A706" s="12" t="s">
        <v>2123</v>
      </c>
      <c r="B706" s="9">
        <v>45756</v>
      </c>
      <c r="C706" s="12" t="s">
        <v>2</v>
      </c>
      <c r="D706" s="12" t="s">
        <v>2124</v>
      </c>
      <c r="E706" s="12" t="s">
        <v>2</v>
      </c>
      <c r="F706" s="12" t="s">
        <v>2125</v>
      </c>
    </row>
    <row x14ac:dyDescent="0.25" r="707" customHeight="1" ht="18.75" hidden="1">
      <c r="A707" s="12" t="s">
        <v>2126</v>
      </c>
      <c r="B707" s="9">
        <v>45755</v>
      </c>
      <c r="C707" s="12" t="s">
        <v>3</v>
      </c>
      <c r="D707" s="12" t="s">
        <v>2127</v>
      </c>
      <c r="E707" s="12" t="s">
        <v>3</v>
      </c>
      <c r="F707" s="12" t="s">
        <v>2128</v>
      </c>
    </row>
    <row x14ac:dyDescent="0.25" r="708" customHeight="1" ht="18.75" hidden="1">
      <c r="A708" s="12" t="s">
        <v>2129</v>
      </c>
      <c r="B708" s="9">
        <v>45755</v>
      </c>
      <c r="C708" s="12" t="s">
        <v>3</v>
      </c>
      <c r="D708" s="12" t="s">
        <v>2130</v>
      </c>
      <c r="E708" s="12" t="s">
        <v>3</v>
      </c>
      <c r="F708" s="12" t="s">
        <v>2131</v>
      </c>
    </row>
    <row x14ac:dyDescent="0.25" r="709" customHeight="1" ht="18.75" hidden="1">
      <c r="A709" s="12" t="s">
        <v>2132</v>
      </c>
      <c r="B709" s="9">
        <v>45755</v>
      </c>
      <c r="C709" s="12" t="s">
        <v>3</v>
      </c>
      <c r="D709" s="12" t="s">
        <v>2133</v>
      </c>
      <c r="E709" s="12" t="s">
        <v>3</v>
      </c>
      <c r="F709" s="12" t="s">
        <v>2134</v>
      </c>
    </row>
    <row x14ac:dyDescent="0.25" r="710" customHeight="1" ht="18.75" hidden="1">
      <c r="A710" s="12" t="s">
        <v>2135</v>
      </c>
      <c r="B710" s="9">
        <v>45755</v>
      </c>
      <c r="C710" s="12" t="s">
        <v>3</v>
      </c>
      <c r="D710" s="12" t="s">
        <v>2136</v>
      </c>
      <c r="E710" s="12" t="s">
        <v>3</v>
      </c>
      <c r="F710" s="12" t="s">
        <v>2137</v>
      </c>
    </row>
    <row x14ac:dyDescent="0.25" r="711" customHeight="1" ht="18.75" hidden="1">
      <c r="A711" s="12" t="s">
        <v>2138</v>
      </c>
      <c r="B711" s="9">
        <v>45755</v>
      </c>
      <c r="C711" s="12" t="s">
        <v>3</v>
      </c>
      <c r="D711" s="12" t="s">
        <v>2139</v>
      </c>
      <c r="E711" s="12" t="s">
        <v>3</v>
      </c>
      <c r="F711" s="12" t="s">
        <v>2140</v>
      </c>
    </row>
    <row x14ac:dyDescent="0.25" r="712" customHeight="1" ht="18.75" hidden="1">
      <c r="A712" s="12" t="s">
        <v>2141</v>
      </c>
      <c r="B712" s="9">
        <v>45755</v>
      </c>
      <c r="C712" s="12" t="s">
        <v>2</v>
      </c>
      <c r="D712" s="12" t="s">
        <v>2142</v>
      </c>
      <c r="E712" s="12" t="s">
        <v>2</v>
      </c>
      <c r="F712" s="12" t="s">
        <v>2143</v>
      </c>
    </row>
    <row x14ac:dyDescent="0.25" r="713" customHeight="1" ht="18.75" hidden="1">
      <c r="A713" s="12" t="s">
        <v>2144</v>
      </c>
      <c r="B713" s="9">
        <v>45755</v>
      </c>
      <c r="C713" s="12" t="s">
        <v>3</v>
      </c>
      <c r="D713" s="12" t="s">
        <v>2145</v>
      </c>
      <c r="E713" s="12" t="s">
        <v>3</v>
      </c>
      <c r="F713" s="12" t="s">
        <v>2146</v>
      </c>
    </row>
    <row x14ac:dyDescent="0.25" r="714" customHeight="1" ht="18.75" hidden="1">
      <c r="A714" s="12" t="s">
        <v>2147</v>
      </c>
      <c r="B714" s="9">
        <v>45754</v>
      </c>
      <c r="C714" s="12" t="s">
        <v>3</v>
      </c>
      <c r="D714" s="12" t="s">
        <v>2148</v>
      </c>
      <c r="E714" s="12" t="s">
        <v>3</v>
      </c>
      <c r="F714" s="12" t="s">
        <v>2149</v>
      </c>
    </row>
    <row x14ac:dyDescent="0.25" r="715" customHeight="1" ht="18.75" hidden="1">
      <c r="A715" s="12" t="s">
        <v>2150</v>
      </c>
      <c r="B715" s="9">
        <v>45754</v>
      </c>
      <c r="C715" s="12" t="s">
        <v>3</v>
      </c>
      <c r="D715" s="12" t="s">
        <v>2151</v>
      </c>
      <c r="E715" s="12" t="s">
        <v>3</v>
      </c>
      <c r="F715" s="12" t="s">
        <v>2152</v>
      </c>
    </row>
    <row x14ac:dyDescent="0.25" r="716" customHeight="1" ht="18.75" hidden="1">
      <c r="A716" s="12" t="s">
        <v>2153</v>
      </c>
      <c r="B716" s="9">
        <v>45754</v>
      </c>
      <c r="C716" s="12" t="s">
        <v>3</v>
      </c>
      <c r="D716" s="12" t="s">
        <v>2154</v>
      </c>
      <c r="E716" s="12" t="s">
        <v>3</v>
      </c>
      <c r="F716" s="12" t="s">
        <v>2155</v>
      </c>
    </row>
    <row x14ac:dyDescent="0.25" r="717" customHeight="1" ht="18.75" hidden="1">
      <c r="A717" s="12" t="s">
        <v>2156</v>
      </c>
      <c r="B717" s="9">
        <v>45754</v>
      </c>
      <c r="C717" s="12" t="s">
        <v>3</v>
      </c>
      <c r="D717" s="12" t="s">
        <v>2157</v>
      </c>
      <c r="E717" s="12" t="s">
        <v>3</v>
      </c>
      <c r="F717" s="12" t="s">
        <v>2158</v>
      </c>
    </row>
    <row x14ac:dyDescent="0.25" r="718" customHeight="1" ht="18.75" hidden="1">
      <c r="A718" s="12" t="s">
        <v>2159</v>
      </c>
      <c r="B718" s="9">
        <v>45754</v>
      </c>
      <c r="C718" s="12" t="s">
        <v>3</v>
      </c>
      <c r="D718" s="12" t="s">
        <v>2160</v>
      </c>
      <c r="E718" s="12" t="s">
        <v>3</v>
      </c>
      <c r="F718" s="12" t="s">
        <v>2161</v>
      </c>
    </row>
    <row x14ac:dyDescent="0.25" r="719" customHeight="1" ht="18.75" hidden="1">
      <c r="A719" s="12" t="s">
        <v>2162</v>
      </c>
      <c r="B719" s="9">
        <v>45754</v>
      </c>
      <c r="C719" s="12" t="s">
        <v>3</v>
      </c>
      <c r="D719" s="12" t="s">
        <v>2163</v>
      </c>
      <c r="E719" s="12" t="s">
        <v>3</v>
      </c>
      <c r="F719" s="12" t="s">
        <v>2164</v>
      </c>
    </row>
    <row x14ac:dyDescent="0.25" r="720" customHeight="1" ht="18.75" hidden="1">
      <c r="A720" s="12" t="s">
        <v>2165</v>
      </c>
      <c r="B720" s="9">
        <v>45752</v>
      </c>
      <c r="C720" s="12" t="s">
        <v>3</v>
      </c>
      <c r="D720" s="12" t="s">
        <v>2166</v>
      </c>
      <c r="E720" s="12" t="s">
        <v>3</v>
      </c>
      <c r="F720" s="12" t="s">
        <v>2167</v>
      </c>
    </row>
    <row x14ac:dyDescent="0.25" r="721" customHeight="1" ht="18.75" hidden="1">
      <c r="A721" s="12" t="s">
        <v>2168</v>
      </c>
      <c r="B721" s="9">
        <v>45752</v>
      </c>
      <c r="C721" s="12" t="s">
        <v>3</v>
      </c>
      <c r="D721" s="12" t="s">
        <v>2169</v>
      </c>
      <c r="E721" s="12" t="s">
        <v>3</v>
      </c>
      <c r="F721" s="12" t="s">
        <v>2170</v>
      </c>
    </row>
    <row x14ac:dyDescent="0.25" r="722" customHeight="1" ht="18.75" hidden="1">
      <c r="A722" s="12" t="s">
        <v>2171</v>
      </c>
      <c r="B722" s="9">
        <v>45752</v>
      </c>
      <c r="C722" s="12" t="s">
        <v>3</v>
      </c>
      <c r="D722" s="12" t="s">
        <v>2172</v>
      </c>
      <c r="E722" s="12" t="s">
        <v>3</v>
      </c>
      <c r="F722" s="12" t="s">
        <v>2173</v>
      </c>
    </row>
    <row x14ac:dyDescent="0.25" r="723" customHeight="1" ht="18.75" hidden="1">
      <c r="A723" s="12" t="s">
        <v>2174</v>
      </c>
      <c r="B723" s="9">
        <v>45752</v>
      </c>
      <c r="C723" s="12" t="s">
        <v>2</v>
      </c>
      <c r="D723" s="12" t="s">
        <v>2175</v>
      </c>
      <c r="E723" s="12" t="s">
        <v>3</v>
      </c>
      <c r="F723" s="12" t="s">
        <v>2176</v>
      </c>
    </row>
    <row x14ac:dyDescent="0.25" r="724" customHeight="1" ht="18.75" hidden="1">
      <c r="A724" s="12" t="s">
        <v>2177</v>
      </c>
      <c r="B724" s="9">
        <v>45751</v>
      </c>
      <c r="C724" s="12" t="s">
        <v>3</v>
      </c>
      <c r="D724" s="12" t="s">
        <v>2178</v>
      </c>
      <c r="E724" s="12" t="s">
        <v>3</v>
      </c>
      <c r="F724" s="12" t="s">
        <v>2179</v>
      </c>
    </row>
    <row x14ac:dyDescent="0.25" r="725" customHeight="1" ht="18.75" hidden="1">
      <c r="A725" s="12" t="s">
        <v>2180</v>
      </c>
      <c r="B725" s="9">
        <v>45751</v>
      </c>
      <c r="C725" s="12" t="s">
        <v>2</v>
      </c>
      <c r="D725" s="12" t="s">
        <v>2181</v>
      </c>
      <c r="E725" s="12" t="s">
        <v>2</v>
      </c>
      <c r="F725" s="12" t="s">
        <v>2182</v>
      </c>
    </row>
    <row x14ac:dyDescent="0.25" r="726" customHeight="1" ht="18.75" hidden="1">
      <c r="A726" s="12" t="s">
        <v>2183</v>
      </c>
      <c r="B726" s="9">
        <v>45751</v>
      </c>
      <c r="C726" s="12" t="s">
        <v>3</v>
      </c>
      <c r="D726" s="12" t="s">
        <v>2184</v>
      </c>
      <c r="E726" s="12" t="s">
        <v>3</v>
      </c>
      <c r="F726" s="12" t="s">
        <v>2185</v>
      </c>
    </row>
    <row x14ac:dyDescent="0.25" r="727" customHeight="1" ht="18.75" hidden="1">
      <c r="A727" s="12" t="s">
        <v>2186</v>
      </c>
      <c r="B727" s="9">
        <v>45751</v>
      </c>
      <c r="C727" s="12" t="s">
        <v>2</v>
      </c>
      <c r="D727" s="12" t="s">
        <v>2187</v>
      </c>
      <c r="E727" s="12" t="s">
        <v>2</v>
      </c>
      <c r="F727" s="12" t="s">
        <v>2188</v>
      </c>
    </row>
    <row x14ac:dyDescent="0.25" r="728" customHeight="1" ht="18.75" hidden="1">
      <c r="A728" s="12" t="s">
        <v>2189</v>
      </c>
      <c r="B728" s="9">
        <v>45751</v>
      </c>
      <c r="C728" s="12" t="s">
        <v>3</v>
      </c>
      <c r="D728" s="12" t="s">
        <v>2190</v>
      </c>
      <c r="E728" s="12" t="s">
        <v>3</v>
      </c>
      <c r="F728" s="12" t="s">
        <v>2191</v>
      </c>
    </row>
    <row x14ac:dyDescent="0.25" r="729" customHeight="1" ht="18.75" hidden="1">
      <c r="A729" s="12" t="s">
        <v>2192</v>
      </c>
      <c r="B729" s="9">
        <v>45751</v>
      </c>
      <c r="C729" s="12" t="s">
        <v>3</v>
      </c>
      <c r="D729" s="12" t="s">
        <v>2193</v>
      </c>
      <c r="E729" s="12" t="s">
        <v>3</v>
      </c>
      <c r="F729" s="12" t="s">
        <v>2194</v>
      </c>
    </row>
    <row x14ac:dyDescent="0.25" r="730" customHeight="1" ht="18.75" hidden="1">
      <c r="A730" s="12" t="s">
        <v>2195</v>
      </c>
      <c r="B730" s="9">
        <v>45751</v>
      </c>
      <c r="C730" s="12" t="s">
        <v>3</v>
      </c>
      <c r="D730" s="12" t="s">
        <v>2196</v>
      </c>
      <c r="E730" s="12" t="s">
        <v>3</v>
      </c>
      <c r="F730" s="12" t="s">
        <v>2197</v>
      </c>
    </row>
    <row x14ac:dyDescent="0.25" r="731" customHeight="1" ht="18.75" hidden="1">
      <c r="A731" s="12" t="s">
        <v>2198</v>
      </c>
      <c r="B731" s="9">
        <v>45751</v>
      </c>
      <c r="C731" s="12" t="s">
        <v>3</v>
      </c>
      <c r="D731" s="12" t="s">
        <v>2199</v>
      </c>
      <c r="E731" s="12" t="s">
        <v>3</v>
      </c>
      <c r="F731" s="12" t="s">
        <v>2200</v>
      </c>
    </row>
    <row x14ac:dyDescent="0.25" r="732" customHeight="1" ht="18.75" hidden="1">
      <c r="A732" s="12" t="s">
        <v>2201</v>
      </c>
      <c r="B732" s="9">
        <v>45751</v>
      </c>
      <c r="C732" s="12" t="s">
        <v>3</v>
      </c>
      <c r="D732" s="12" t="s">
        <v>2202</v>
      </c>
      <c r="E732" s="12" t="s">
        <v>3</v>
      </c>
      <c r="F732" s="12" t="s">
        <v>2203</v>
      </c>
    </row>
    <row x14ac:dyDescent="0.25" r="733" customHeight="1" ht="18.75" hidden="1">
      <c r="A733" s="12" t="s">
        <v>2204</v>
      </c>
      <c r="B733" s="9">
        <v>45751</v>
      </c>
      <c r="C733" s="12" t="s">
        <v>2</v>
      </c>
      <c r="D733" s="12" t="s">
        <v>2205</v>
      </c>
      <c r="E733" s="12" t="s">
        <v>3</v>
      </c>
      <c r="F733" s="12" t="s">
        <v>2206</v>
      </c>
    </row>
    <row x14ac:dyDescent="0.25" r="734" customHeight="1" ht="18.75" hidden="1">
      <c r="A734" s="12" t="s">
        <v>2207</v>
      </c>
      <c r="B734" s="9">
        <v>45751</v>
      </c>
      <c r="C734" s="12" t="s">
        <v>3</v>
      </c>
      <c r="D734" s="12" t="s">
        <v>2208</v>
      </c>
      <c r="E734" s="12" t="s">
        <v>2</v>
      </c>
      <c r="F734" s="12" t="s">
        <v>2209</v>
      </c>
    </row>
    <row x14ac:dyDescent="0.25" r="735" customHeight="1" ht="18.75" hidden="1">
      <c r="A735" s="12" t="s">
        <v>2210</v>
      </c>
      <c r="B735" s="9">
        <v>45751</v>
      </c>
      <c r="C735" s="12" t="s">
        <v>3</v>
      </c>
      <c r="D735" s="12" t="s">
        <v>2211</v>
      </c>
      <c r="E735" s="12" t="s">
        <v>3</v>
      </c>
      <c r="F735" s="12" t="s">
        <v>2212</v>
      </c>
    </row>
    <row x14ac:dyDescent="0.25" r="736" customHeight="1" ht="18.75" hidden="1">
      <c r="A736" s="12" t="s">
        <v>2213</v>
      </c>
      <c r="B736" s="9">
        <v>45751</v>
      </c>
      <c r="C736" s="12" t="s">
        <v>3</v>
      </c>
      <c r="D736" s="12" t="s">
        <v>2214</v>
      </c>
      <c r="E736" s="12" t="s">
        <v>3</v>
      </c>
      <c r="F736" s="12" t="s">
        <v>2215</v>
      </c>
    </row>
    <row x14ac:dyDescent="0.25" r="737" customHeight="1" ht="18.75" hidden="1">
      <c r="A737" s="12" t="s">
        <v>2216</v>
      </c>
      <c r="B737" s="9">
        <v>45751</v>
      </c>
      <c r="C737" s="12" t="s">
        <v>3</v>
      </c>
      <c r="D737" s="12" t="s">
        <v>2217</v>
      </c>
      <c r="E737" s="12" t="s">
        <v>3</v>
      </c>
      <c r="F737" s="12" t="s">
        <v>2218</v>
      </c>
    </row>
    <row x14ac:dyDescent="0.25" r="738" customHeight="1" ht="18.75" hidden="1">
      <c r="A738" s="12" t="s">
        <v>2219</v>
      </c>
      <c r="B738" s="9">
        <v>45751</v>
      </c>
      <c r="C738" s="12" t="s">
        <v>3</v>
      </c>
      <c r="D738" s="12" t="s">
        <v>2220</v>
      </c>
      <c r="E738" s="12" t="s">
        <v>3</v>
      </c>
      <c r="F738" s="12" t="s">
        <v>2221</v>
      </c>
    </row>
    <row x14ac:dyDescent="0.25" r="739" customHeight="1" ht="18.75" hidden="1">
      <c r="A739" s="12" t="s">
        <v>2222</v>
      </c>
      <c r="B739" s="9">
        <v>45751</v>
      </c>
      <c r="C739" s="12" t="s">
        <v>3</v>
      </c>
      <c r="D739" s="12" t="s">
        <v>2223</v>
      </c>
      <c r="E739" s="12" t="s">
        <v>3</v>
      </c>
      <c r="F739" s="12" t="s">
        <v>2224</v>
      </c>
    </row>
    <row x14ac:dyDescent="0.25" r="740" customHeight="1" ht="18.75" hidden="1">
      <c r="A740" s="12" t="s">
        <v>2225</v>
      </c>
      <c r="B740" s="9">
        <v>45751</v>
      </c>
      <c r="C740" s="12" t="s">
        <v>3</v>
      </c>
      <c r="D740" s="12" t="s">
        <v>2226</v>
      </c>
      <c r="E740" s="12" t="s">
        <v>3</v>
      </c>
      <c r="F740" s="12" t="s">
        <v>2227</v>
      </c>
    </row>
    <row x14ac:dyDescent="0.25" r="741" customHeight="1" ht="18.75" hidden="1">
      <c r="A741" s="12" t="s">
        <v>2228</v>
      </c>
      <c r="B741" s="9">
        <v>45749</v>
      </c>
      <c r="C741" s="12" t="s">
        <v>3</v>
      </c>
      <c r="D741" s="12" t="s">
        <v>2229</v>
      </c>
      <c r="E741" s="12" t="s">
        <v>3</v>
      </c>
      <c r="F741" s="12" t="s">
        <v>2230</v>
      </c>
    </row>
    <row x14ac:dyDescent="0.25" r="742" customHeight="1" ht="18.75" hidden="1">
      <c r="A742" s="12" t="s">
        <v>2231</v>
      </c>
      <c r="B742" s="9">
        <v>45749</v>
      </c>
      <c r="C742" s="12" t="s">
        <v>3</v>
      </c>
      <c r="D742" s="12" t="s">
        <v>2232</v>
      </c>
      <c r="E742" s="12" t="s">
        <v>3</v>
      </c>
      <c r="F742" s="12" t="s">
        <v>2233</v>
      </c>
    </row>
    <row x14ac:dyDescent="0.25" r="743" customHeight="1" ht="18.75" hidden="1">
      <c r="A743" s="12" t="s">
        <v>2234</v>
      </c>
      <c r="B743" s="9">
        <v>45749</v>
      </c>
      <c r="C743" s="12" t="s">
        <v>2</v>
      </c>
      <c r="D743" s="12" t="s">
        <v>2235</v>
      </c>
      <c r="E743" s="12" t="s">
        <v>2</v>
      </c>
      <c r="F743" s="12" t="s">
        <v>2236</v>
      </c>
    </row>
    <row x14ac:dyDescent="0.25" r="744" customHeight="1" ht="18.75" hidden="1">
      <c r="A744" s="12" t="s">
        <v>2237</v>
      </c>
      <c r="B744" s="9">
        <v>45749</v>
      </c>
      <c r="C744" s="12" t="s">
        <v>3</v>
      </c>
      <c r="D744" s="12" t="s">
        <v>2238</v>
      </c>
      <c r="E744" s="12" t="s">
        <v>3</v>
      </c>
      <c r="F744" s="12" t="s">
        <v>2239</v>
      </c>
    </row>
    <row x14ac:dyDescent="0.25" r="745" customHeight="1" ht="18.75" hidden="1">
      <c r="A745" s="12" t="s">
        <v>2240</v>
      </c>
      <c r="B745" s="9">
        <v>45749</v>
      </c>
      <c r="C745" s="12" t="s">
        <v>3</v>
      </c>
      <c r="D745" s="12" t="s">
        <v>2241</v>
      </c>
      <c r="E745" s="12" t="s">
        <v>3</v>
      </c>
      <c r="F745" s="12" t="s">
        <v>2242</v>
      </c>
    </row>
    <row x14ac:dyDescent="0.25" r="746" customHeight="1" ht="18.75" hidden="1">
      <c r="A746" s="12" t="s">
        <v>2243</v>
      </c>
      <c r="B746" s="9">
        <v>45748</v>
      </c>
      <c r="C746" s="12" t="s">
        <v>2</v>
      </c>
      <c r="D746" s="12" t="s">
        <v>2244</v>
      </c>
      <c r="E746" s="12" t="s">
        <v>2</v>
      </c>
      <c r="F746" s="12" t="s">
        <v>2245</v>
      </c>
    </row>
    <row x14ac:dyDescent="0.25" r="747" customHeight="1" ht="18.75" hidden="1">
      <c r="A747" s="12" t="s">
        <v>2246</v>
      </c>
      <c r="B747" s="9">
        <v>45748</v>
      </c>
      <c r="C747" s="12" t="s">
        <v>3</v>
      </c>
      <c r="D747" s="12" t="s">
        <v>2247</v>
      </c>
      <c r="E747" s="12" t="s">
        <v>3</v>
      </c>
      <c r="F747" s="12" t="s">
        <v>2248</v>
      </c>
    </row>
    <row x14ac:dyDescent="0.25" r="748" customHeight="1" ht="18.75" hidden="1">
      <c r="A748" s="12" t="s">
        <v>2249</v>
      </c>
      <c r="B748" s="9">
        <v>45748</v>
      </c>
      <c r="C748" s="12" t="s">
        <v>2</v>
      </c>
      <c r="D748" s="12" t="s">
        <v>2250</v>
      </c>
      <c r="E748" s="12" t="s">
        <v>2</v>
      </c>
      <c r="F748" s="12" t="s">
        <v>2251</v>
      </c>
    </row>
    <row x14ac:dyDescent="0.25" r="749" customHeight="1" ht="18.75" hidden="1">
      <c r="A749" s="12" t="s">
        <v>2252</v>
      </c>
      <c r="B749" s="9">
        <v>45747</v>
      </c>
      <c r="C749" s="12" t="s">
        <v>3</v>
      </c>
      <c r="D749" s="12" t="s">
        <v>2253</v>
      </c>
      <c r="E749" s="12" t="s">
        <v>3</v>
      </c>
      <c r="F749" s="12" t="s">
        <v>2254</v>
      </c>
    </row>
    <row x14ac:dyDescent="0.25" r="750" customHeight="1" ht="18.75" hidden="1">
      <c r="A750" s="12" t="s">
        <v>2255</v>
      </c>
      <c r="B750" s="9">
        <v>45747</v>
      </c>
      <c r="C750" s="12" t="s">
        <v>3</v>
      </c>
      <c r="D750" s="12" t="s">
        <v>2256</v>
      </c>
      <c r="E750" s="12" t="s">
        <v>3</v>
      </c>
      <c r="F750" s="12" t="s">
        <v>2257</v>
      </c>
    </row>
    <row x14ac:dyDescent="0.25" r="751" customHeight="1" ht="18.75" hidden="1">
      <c r="A751" s="12" t="s">
        <v>2258</v>
      </c>
      <c r="B751" s="9">
        <v>45747</v>
      </c>
      <c r="C751" s="12" t="s">
        <v>3</v>
      </c>
      <c r="D751" s="12" t="s">
        <v>2259</v>
      </c>
      <c r="E751" s="12" t="s">
        <v>3</v>
      </c>
      <c r="F751" s="12" t="s">
        <v>2260</v>
      </c>
    </row>
    <row x14ac:dyDescent="0.25" r="752" customHeight="1" ht="18.75" hidden="1">
      <c r="A752" s="12" t="s">
        <v>2261</v>
      </c>
      <c r="B752" s="9">
        <v>45747</v>
      </c>
      <c r="C752" s="12" t="s">
        <v>2</v>
      </c>
      <c r="D752" s="12" t="s">
        <v>2262</v>
      </c>
      <c r="E752" s="12" t="s">
        <v>2</v>
      </c>
      <c r="F752" s="12" t="s">
        <v>2263</v>
      </c>
    </row>
    <row x14ac:dyDescent="0.25" r="753" customHeight="1" ht="18.75" hidden="1">
      <c r="A753" s="12" t="s">
        <v>2264</v>
      </c>
      <c r="B753" s="9">
        <v>45747</v>
      </c>
      <c r="C753" s="12" t="s">
        <v>2</v>
      </c>
      <c r="D753" s="12" t="s">
        <v>2265</v>
      </c>
      <c r="E753" s="12" t="s">
        <v>2</v>
      </c>
      <c r="F753" s="12" t="s">
        <v>2266</v>
      </c>
    </row>
    <row x14ac:dyDescent="0.25" r="754" customHeight="1" ht="18.75" hidden="1">
      <c r="A754" s="12" t="s">
        <v>2267</v>
      </c>
      <c r="B754" s="9">
        <v>45747</v>
      </c>
      <c r="C754" s="12" t="s">
        <v>3</v>
      </c>
      <c r="D754" s="12" t="s">
        <v>2268</v>
      </c>
      <c r="E754" s="12" t="s">
        <v>3</v>
      </c>
      <c r="F754" s="12" t="s">
        <v>2269</v>
      </c>
    </row>
    <row x14ac:dyDescent="0.25" r="755" customHeight="1" ht="18.75">
      <c r="A755" s="12" t="s">
        <v>2270</v>
      </c>
      <c r="B755" s="9">
        <v>45745</v>
      </c>
      <c r="C755" s="12" t="s">
        <v>101</v>
      </c>
      <c r="D755" s="12" t="s">
        <v>2271</v>
      </c>
      <c r="E755" s="12" t="s">
        <v>13</v>
      </c>
      <c r="F755" s="12" t="s">
        <v>2272</v>
      </c>
    </row>
    <row x14ac:dyDescent="0.25" r="756" customHeight="1" ht="18.75" hidden="1">
      <c r="A756" s="12" t="s">
        <v>2273</v>
      </c>
      <c r="B756" s="9">
        <v>45744</v>
      </c>
      <c r="C756" s="12" t="s">
        <v>2</v>
      </c>
      <c r="D756" s="12" t="s">
        <v>2274</v>
      </c>
      <c r="E756" s="12" t="s">
        <v>2</v>
      </c>
      <c r="F756" s="12" t="s">
        <v>2275</v>
      </c>
    </row>
    <row x14ac:dyDescent="0.25" r="757" customHeight="1" ht="18.75">
      <c r="A757" s="12" t="s">
        <v>2276</v>
      </c>
      <c r="B757" s="9">
        <v>45744</v>
      </c>
      <c r="C757" s="12" t="s">
        <v>101</v>
      </c>
      <c r="D757" s="12" t="s">
        <v>2277</v>
      </c>
      <c r="E757" s="12" t="s">
        <v>4</v>
      </c>
      <c r="F757" s="12" t="s">
        <v>2278</v>
      </c>
    </row>
    <row x14ac:dyDescent="0.25" r="758" customHeight="1" ht="18.75" hidden="1">
      <c r="A758" s="12" t="s">
        <v>2279</v>
      </c>
      <c r="B758" s="9">
        <v>45743</v>
      </c>
      <c r="C758" s="12" t="s">
        <v>2</v>
      </c>
      <c r="D758" s="12" t="s">
        <v>2280</v>
      </c>
      <c r="E758" s="12" t="s">
        <v>2</v>
      </c>
      <c r="F758" s="12" t="s">
        <v>2281</v>
      </c>
    </row>
    <row x14ac:dyDescent="0.25" r="759" customHeight="1" ht="18.75" hidden="1">
      <c r="A759" s="12" t="s">
        <v>2282</v>
      </c>
      <c r="B759" s="9">
        <v>45743</v>
      </c>
      <c r="C759" s="12" t="s">
        <v>2</v>
      </c>
      <c r="D759" s="12" t="s">
        <v>2283</v>
      </c>
      <c r="E759" s="12" t="s">
        <v>2</v>
      </c>
      <c r="F759" s="12" t="s">
        <v>2284</v>
      </c>
    </row>
    <row x14ac:dyDescent="0.25" r="760" customHeight="1" ht="18.75" hidden="1">
      <c r="A760" s="12" t="s">
        <v>2285</v>
      </c>
      <c r="B760" s="9">
        <v>45743</v>
      </c>
      <c r="C760" s="12" t="s">
        <v>3</v>
      </c>
      <c r="D760" s="12" t="s">
        <v>2286</v>
      </c>
      <c r="E760" s="12" t="s">
        <v>3</v>
      </c>
      <c r="F760" s="12" t="s">
        <v>2287</v>
      </c>
    </row>
    <row x14ac:dyDescent="0.25" r="761" customHeight="1" ht="18.75" hidden="1">
      <c r="A761" s="12" t="s">
        <v>2288</v>
      </c>
      <c r="B761" s="9">
        <v>45743</v>
      </c>
      <c r="C761" s="12" t="s">
        <v>2</v>
      </c>
      <c r="D761" s="12" t="s">
        <v>2289</v>
      </c>
      <c r="E761" s="12" t="s">
        <v>2</v>
      </c>
      <c r="F761" s="12" t="s">
        <v>2290</v>
      </c>
    </row>
    <row x14ac:dyDescent="0.25" r="762" customHeight="1" ht="18.75" hidden="1">
      <c r="A762" s="12" t="s">
        <v>2291</v>
      </c>
      <c r="B762" s="9">
        <v>45742</v>
      </c>
      <c r="C762" s="12" t="s">
        <v>2</v>
      </c>
      <c r="D762" s="12" t="s">
        <v>2292</v>
      </c>
      <c r="E762" s="12" t="s">
        <v>2</v>
      </c>
      <c r="F762" s="12" t="s">
        <v>2293</v>
      </c>
    </row>
    <row x14ac:dyDescent="0.25" r="763" customHeight="1" ht="18.75" hidden="1">
      <c r="A763" s="12" t="s">
        <v>2294</v>
      </c>
      <c r="B763" s="9">
        <v>45742</v>
      </c>
      <c r="C763" s="12" t="s">
        <v>2</v>
      </c>
      <c r="D763" s="12" t="s">
        <v>2295</v>
      </c>
      <c r="E763" s="12" t="s">
        <v>2</v>
      </c>
      <c r="F763" s="12" t="s">
        <v>2296</v>
      </c>
    </row>
    <row x14ac:dyDescent="0.25" r="764" customHeight="1" ht="18.75" hidden="1">
      <c r="A764" s="12" t="s">
        <v>2297</v>
      </c>
      <c r="B764" s="9">
        <v>45742</v>
      </c>
      <c r="C764" s="12" t="s">
        <v>2</v>
      </c>
      <c r="D764" s="12" t="s">
        <v>2298</v>
      </c>
      <c r="E764" s="12" t="s">
        <v>2</v>
      </c>
      <c r="F764" s="12" t="s">
        <v>2299</v>
      </c>
    </row>
    <row x14ac:dyDescent="0.25" r="765" customHeight="1" ht="18.75" hidden="1">
      <c r="A765" s="12" t="s">
        <v>2300</v>
      </c>
      <c r="B765" s="9">
        <v>45741</v>
      </c>
      <c r="C765" s="12" t="s">
        <v>2</v>
      </c>
      <c r="D765" s="12" t="s">
        <v>2301</v>
      </c>
      <c r="E765" s="12" t="s">
        <v>2</v>
      </c>
      <c r="F765" s="12" t="s">
        <v>2302</v>
      </c>
    </row>
    <row x14ac:dyDescent="0.25" r="766" customHeight="1" ht="18.75" hidden="1">
      <c r="A766" s="12" t="s">
        <v>2303</v>
      </c>
      <c r="B766" s="9">
        <v>45741</v>
      </c>
      <c r="C766" s="12" t="s">
        <v>2</v>
      </c>
      <c r="D766" s="12" t="s">
        <v>2304</v>
      </c>
      <c r="E766" s="12" t="s">
        <v>2</v>
      </c>
      <c r="F766" s="12" t="s">
        <v>2305</v>
      </c>
    </row>
    <row x14ac:dyDescent="0.25" r="767" customHeight="1" ht="18.75" hidden="1">
      <c r="A767" s="12" t="s">
        <v>2306</v>
      </c>
      <c r="B767" s="9">
        <v>45741</v>
      </c>
      <c r="C767" s="12" t="s">
        <v>2</v>
      </c>
      <c r="D767" s="12" t="s">
        <v>2307</v>
      </c>
      <c r="E767" s="12" t="s">
        <v>3</v>
      </c>
      <c r="F767" s="12" t="s">
        <v>2308</v>
      </c>
    </row>
    <row x14ac:dyDescent="0.25" r="768" customHeight="1" ht="18.75" hidden="1">
      <c r="A768" s="12" t="s">
        <v>2309</v>
      </c>
      <c r="B768" s="9">
        <v>45740</v>
      </c>
      <c r="C768" s="12" t="s">
        <v>3</v>
      </c>
      <c r="D768" s="12" t="s">
        <v>2310</v>
      </c>
      <c r="E768" s="12" t="s">
        <v>3</v>
      </c>
      <c r="F768" s="12" t="s">
        <v>2311</v>
      </c>
    </row>
    <row x14ac:dyDescent="0.25" r="769" customHeight="1" ht="18.75" hidden="1">
      <c r="A769" s="12" t="s">
        <v>2312</v>
      </c>
      <c r="B769" s="9">
        <v>45740</v>
      </c>
      <c r="C769" s="12" t="s">
        <v>2</v>
      </c>
      <c r="D769" s="12" t="s">
        <v>2313</v>
      </c>
      <c r="E769" s="12" t="s">
        <v>2</v>
      </c>
      <c r="F769" s="12" t="s">
        <v>2314</v>
      </c>
    </row>
    <row x14ac:dyDescent="0.25" r="770" customHeight="1" ht="18.75" hidden="1">
      <c r="A770" s="12" t="s">
        <v>2315</v>
      </c>
      <c r="B770" s="9">
        <v>45739</v>
      </c>
      <c r="C770" s="12" t="s">
        <v>2</v>
      </c>
      <c r="D770" s="12" t="s">
        <v>2316</v>
      </c>
      <c r="E770" s="12" t="s">
        <v>2</v>
      </c>
      <c r="F770" s="12" t="s">
        <v>2317</v>
      </c>
    </row>
    <row x14ac:dyDescent="0.25" r="771" customHeight="1" ht="18.75" hidden="1">
      <c r="A771" s="12" t="s">
        <v>2318</v>
      </c>
      <c r="B771" s="9">
        <v>45737</v>
      </c>
      <c r="C771" s="12" t="s">
        <v>2</v>
      </c>
      <c r="D771" s="12" t="s">
        <v>2319</v>
      </c>
      <c r="E771" s="12" t="s">
        <v>2</v>
      </c>
      <c r="F771" s="12" t="s">
        <v>2320</v>
      </c>
    </row>
    <row x14ac:dyDescent="0.25" r="772" customHeight="1" ht="18.75" hidden="1">
      <c r="A772" s="12" t="s">
        <v>2321</v>
      </c>
      <c r="B772" s="9">
        <v>45737</v>
      </c>
      <c r="C772" s="12" t="s">
        <v>2</v>
      </c>
      <c r="D772" s="12" t="s">
        <v>2322</v>
      </c>
      <c r="E772" s="12" t="s">
        <v>2</v>
      </c>
      <c r="F772" s="12" t="s">
        <v>2323</v>
      </c>
    </row>
    <row x14ac:dyDescent="0.25" r="773" customHeight="1" ht="18.75">
      <c r="A773" s="12" t="s">
        <v>2324</v>
      </c>
      <c r="B773" s="9">
        <v>45737</v>
      </c>
      <c r="C773" s="12" t="s">
        <v>101</v>
      </c>
      <c r="D773" s="12" t="s">
        <v>2325</v>
      </c>
      <c r="E773" s="12" t="s">
        <v>13</v>
      </c>
      <c r="F773" s="12" t="s">
        <v>2326</v>
      </c>
    </row>
    <row x14ac:dyDescent="0.25" r="774" customHeight="1" ht="18.75" hidden="1">
      <c r="A774" s="12" t="s">
        <v>2327</v>
      </c>
      <c r="B774" s="9">
        <v>45737</v>
      </c>
      <c r="C774" s="12" t="s">
        <v>2</v>
      </c>
      <c r="D774" s="12" t="s">
        <v>2328</v>
      </c>
      <c r="E774" s="12" t="s">
        <v>2</v>
      </c>
      <c r="F774" s="12" t="s">
        <v>2329</v>
      </c>
    </row>
    <row x14ac:dyDescent="0.25" r="775" customHeight="1" ht="18.75" hidden="1">
      <c r="A775" s="12" t="s">
        <v>2330</v>
      </c>
      <c r="B775" s="9">
        <v>45737</v>
      </c>
      <c r="C775" s="12" t="s">
        <v>2</v>
      </c>
      <c r="D775" s="12" t="s">
        <v>2331</v>
      </c>
      <c r="E775" s="12" t="s">
        <v>2</v>
      </c>
      <c r="F775" s="12" t="s">
        <v>2332</v>
      </c>
    </row>
    <row x14ac:dyDescent="0.25" r="776" customHeight="1" ht="18.75" hidden="1">
      <c r="A776" s="12" t="s">
        <v>2333</v>
      </c>
      <c r="B776" s="9">
        <v>45736</v>
      </c>
      <c r="C776" s="12" t="s">
        <v>2</v>
      </c>
      <c r="D776" s="12" t="s">
        <v>2334</v>
      </c>
      <c r="E776" s="12" t="s">
        <v>2</v>
      </c>
      <c r="F776" s="12" t="s">
        <v>2335</v>
      </c>
    </row>
    <row x14ac:dyDescent="0.25" r="777" customHeight="1" ht="18.75" hidden="1">
      <c r="A777" s="12" t="s">
        <v>2336</v>
      </c>
      <c r="B777" s="9">
        <v>45736</v>
      </c>
      <c r="C777" s="12" t="s">
        <v>3</v>
      </c>
      <c r="D777" s="12" t="s">
        <v>2337</v>
      </c>
      <c r="E777" s="12" t="s">
        <v>3</v>
      </c>
      <c r="F777" s="12" t="s">
        <v>2338</v>
      </c>
    </row>
    <row x14ac:dyDescent="0.25" r="778" customHeight="1" ht="18.75" hidden="1">
      <c r="A778" s="12" t="s">
        <v>2339</v>
      </c>
      <c r="B778" s="9">
        <v>45736</v>
      </c>
      <c r="C778" s="12" t="s">
        <v>2</v>
      </c>
      <c r="D778" s="12" t="s">
        <v>2340</v>
      </c>
      <c r="E778" s="12" t="s">
        <v>2</v>
      </c>
      <c r="F778" s="12" t="s">
        <v>2341</v>
      </c>
    </row>
    <row x14ac:dyDescent="0.25" r="779" customHeight="1" ht="18.75" hidden="1">
      <c r="A779" s="12" t="s">
        <v>2342</v>
      </c>
      <c r="B779" s="9">
        <v>45735</v>
      </c>
      <c r="C779" s="12" t="s">
        <v>2</v>
      </c>
      <c r="D779" s="12" t="s">
        <v>2343</v>
      </c>
      <c r="E779" s="12" t="s">
        <v>2</v>
      </c>
      <c r="F779" s="12" t="s">
        <v>2344</v>
      </c>
    </row>
    <row x14ac:dyDescent="0.25" r="780" customHeight="1" ht="18.75" hidden="1">
      <c r="A780" s="12" t="s">
        <v>2345</v>
      </c>
      <c r="B780" s="9">
        <v>45735</v>
      </c>
      <c r="C780" s="12" t="s">
        <v>2</v>
      </c>
      <c r="D780" s="12" t="s">
        <v>2346</v>
      </c>
      <c r="E780" s="12" t="s">
        <v>2</v>
      </c>
      <c r="F780" s="12" t="s">
        <v>2347</v>
      </c>
    </row>
    <row x14ac:dyDescent="0.25" r="781" customHeight="1" ht="18.75" hidden="1">
      <c r="A781" s="12" t="s">
        <v>2348</v>
      </c>
      <c r="B781" s="9">
        <v>45735</v>
      </c>
      <c r="C781" s="12" t="s">
        <v>3</v>
      </c>
      <c r="D781" s="12" t="s">
        <v>2349</v>
      </c>
      <c r="E781" s="12" t="s">
        <v>3</v>
      </c>
      <c r="F781" s="12" t="s">
        <v>2350</v>
      </c>
    </row>
    <row x14ac:dyDescent="0.25" r="782" customHeight="1" ht="18.75" hidden="1">
      <c r="A782" s="12" t="s">
        <v>2351</v>
      </c>
      <c r="B782" s="9">
        <v>45735</v>
      </c>
      <c r="C782" s="12" t="s">
        <v>2</v>
      </c>
      <c r="D782" s="12" t="s">
        <v>2352</v>
      </c>
      <c r="E782" s="12" t="s">
        <v>2</v>
      </c>
      <c r="F782" s="12" t="s">
        <v>2353</v>
      </c>
    </row>
    <row x14ac:dyDescent="0.25" r="783" customHeight="1" ht="18.75">
      <c r="A783" s="12" t="s">
        <v>2354</v>
      </c>
      <c r="B783" s="9">
        <v>45735</v>
      </c>
      <c r="C783" s="12" t="s">
        <v>3</v>
      </c>
      <c r="D783" s="12" t="s">
        <v>2355</v>
      </c>
      <c r="E783" s="12" t="s">
        <v>13</v>
      </c>
      <c r="F783" s="12" t="s">
        <v>2356</v>
      </c>
    </row>
    <row x14ac:dyDescent="0.25" r="784" customHeight="1" ht="18.75">
      <c r="A784" s="12" t="s">
        <v>2357</v>
      </c>
      <c r="B784" s="9">
        <v>45735</v>
      </c>
      <c r="C784" s="12" t="s">
        <v>13</v>
      </c>
      <c r="D784" s="12" t="s">
        <v>2358</v>
      </c>
      <c r="E784" s="12" t="s">
        <v>13</v>
      </c>
      <c r="F784" s="12" t="s">
        <v>2359</v>
      </c>
    </row>
    <row x14ac:dyDescent="0.25" r="785" customHeight="1" ht="18.75" hidden="1">
      <c r="A785" s="12" t="s">
        <v>2360</v>
      </c>
      <c r="B785" s="9">
        <v>45735</v>
      </c>
      <c r="C785" s="12" t="s">
        <v>3</v>
      </c>
      <c r="D785" s="12" t="s">
        <v>2361</v>
      </c>
      <c r="E785" s="12" t="s">
        <v>3</v>
      </c>
      <c r="F785" s="12" t="s">
        <v>2362</v>
      </c>
    </row>
    <row x14ac:dyDescent="0.25" r="786" customHeight="1" ht="18.75" hidden="1">
      <c r="A786" s="12" t="s">
        <v>2363</v>
      </c>
      <c r="B786" s="9">
        <v>45735</v>
      </c>
      <c r="C786" s="12" t="s">
        <v>2</v>
      </c>
      <c r="D786" s="12" t="s">
        <v>2364</v>
      </c>
      <c r="E786" s="12" t="s">
        <v>2</v>
      </c>
      <c r="F786" s="12" t="s">
        <v>2365</v>
      </c>
    </row>
    <row x14ac:dyDescent="0.25" r="787" customHeight="1" ht="18.75" hidden="1">
      <c r="A787" s="12" t="s">
        <v>2366</v>
      </c>
      <c r="B787" s="9">
        <v>45735</v>
      </c>
      <c r="C787" s="12" t="s">
        <v>3</v>
      </c>
      <c r="D787" s="12" t="s">
        <v>2367</v>
      </c>
      <c r="E787" s="12" t="s">
        <v>3</v>
      </c>
      <c r="F787" s="12" t="s">
        <v>2368</v>
      </c>
    </row>
    <row x14ac:dyDescent="0.25" r="788" customHeight="1" ht="18.75" hidden="1">
      <c r="A788" s="12" t="s">
        <v>2369</v>
      </c>
      <c r="B788" s="9">
        <v>45734</v>
      </c>
      <c r="C788" s="12" t="s">
        <v>2</v>
      </c>
      <c r="D788" s="12" t="s">
        <v>2370</v>
      </c>
      <c r="E788" s="12" t="s">
        <v>2</v>
      </c>
      <c r="F788" s="12" t="s">
        <v>2371</v>
      </c>
    </row>
    <row x14ac:dyDescent="0.25" r="789" customHeight="1" ht="18.75" hidden="1">
      <c r="A789" s="12" t="s">
        <v>2372</v>
      </c>
      <c r="B789" s="9">
        <v>45734</v>
      </c>
      <c r="C789" s="12" t="s">
        <v>101</v>
      </c>
      <c r="D789" s="12" t="s">
        <v>2373</v>
      </c>
      <c r="E789" s="12" t="s">
        <v>3</v>
      </c>
      <c r="F789" s="12" t="s">
        <v>2374</v>
      </c>
    </row>
    <row x14ac:dyDescent="0.25" r="790" customHeight="1" ht="18.75" hidden="1">
      <c r="A790" s="12" t="s">
        <v>2375</v>
      </c>
      <c r="B790" s="9">
        <v>45734</v>
      </c>
      <c r="C790" s="12" t="s">
        <v>3</v>
      </c>
      <c r="D790" s="12" t="s">
        <v>2376</v>
      </c>
      <c r="E790" s="12" t="s">
        <v>3</v>
      </c>
      <c r="F790" s="12" t="s">
        <v>2377</v>
      </c>
    </row>
    <row x14ac:dyDescent="0.25" r="791" customHeight="1" ht="18.75" hidden="1">
      <c r="A791" s="12" t="s">
        <v>2378</v>
      </c>
      <c r="B791" s="9">
        <v>45734</v>
      </c>
      <c r="C791" s="12" t="s">
        <v>3</v>
      </c>
      <c r="D791" s="12" t="s">
        <v>2379</v>
      </c>
      <c r="E791" s="12" t="s">
        <v>2</v>
      </c>
      <c r="F791" s="12" t="s">
        <v>2380</v>
      </c>
    </row>
    <row x14ac:dyDescent="0.25" r="792" customHeight="1" ht="18.75" hidden="1">
      <c r="A792" s="12" t="s">
        <v>2381</v>
      </c>
      <c r="B792" s="9">
        <v>45734</v>
      </c>
      <c r="C792" s="12" t="s">
        <v>2</v>
      </c>
      <c r="D792" s="12" t="s">
        <v>2382</v>
      </c>
      <c r="E792" s="12" t="s">
        <v>2</v>
      </c>
      <c r="F792" s="12" t="s">
        <v>2383</v>
      </c>
    </row>
    <row x14ac:dyDescent="0.25" r="793" customHeight="1" ht="18.75" hidden="1">
      <c r="A793" s="12" t="s">
        <v>2384</v>
      </c>
      <c r="B793" s="9">
        <v>45734</v>
      </c>
      <c r="C793" s="12" t="s">
        <v>2</v>
      </c>
      <c r="D793" s="12" t="s">
        <v>2385</v>
      </c>
      <c r="E793" s="12" t="s">
        <v>2</v>
      </c>
      <c r="F793" s="12" t="s">
        <v>2386</v>
      </c>
    </row>
    <row x14ac:dyDescent="0.25" r="794" customHeight="1" ht="18.75">
      <c r="A794" s="12" t="s">
        <v>2387</v>
      </c>
      <c r="B794" s="9">
        <v>45733</v>
      </c>
      <c r="C794" s="12" t="s">
        <v>13</v>
      </c>
      <c r="D794" s="12" t="s">
        <v>2388</v>
      </c>
      <c r="E794" s="12" t="s">
        <v>13</v>
      </c>
      <c r="F794" s="12" t="s">
        <v>2389</v>
      </c>
    </row>
    <row x14ac:dyDescent="0.25" r="795" customHeight="1" ht="18.75" hidden="1">
      <c r="A795" s="12" t="s">
        <v>2390</v>
      </c>
      <c r="B795" s="9">
        <v>45733</v>
      </c>
      <c r="C795" s="12" t="s">
        <v>2</v>
      </c>
      <c r="D795" s="12" t="s">
        <v>2391</v>
      </c>
      <c r="E795" s="12" t="s">
        <v>2</v>
      </c>
      <c r="F795" s="12" t="s">
        <v>2392</v>
      </c>
    </row>
    <row x14ac:dyDescent="0.25" r="796" customHeight="1" ht="18.75" hidden="1">
      <c r="A796" s="12" t="s">
        <v>2393</v>
      </c>
      <c r="B796" s="9">
        <v>45733</v>
      </c>
      <c r="C796" s="12" t="s">
        <v>3</v>
      </c>
      <c r="D796" s="12" t="s">
        <v>2394</v>
      </c>
      <c r="E796" s="12" t="s">
        <v>3</v>
      </c>
      <c r="F796" s="12" t="s">
        <v>2395</v>
      </c>
    </row>
    <row x14ac:dyDescent="0.25" r="797" customHeight="1" ht="18.75" hidden="1">
      <c r="A797" s="12" t="s">
        <v>2396</v>
      </c>
      <c r="B797" s="9">
        <v>45733</v>
      </c>
      <c r="C797" s="12" t="s">
        <v>2</v>
      </c>
      <c r="D797" s="12" t="s">
        <v>2397</v>
      </c>
      <c r="E797" s="12" t="s">
        <v>2</v>
      </c>
      <c r="F797" s="12" t="s">
        <v>2398</v>
      </c>
    </row>
    <row x14ac:dyDescent="0.25" r="798" customHeight="1" ht="18.75">
      <c r="A798" s="12" t="s">
        <v>2399</v>
      </c>
      <c r="B798" s="9">
        <v>45733</v>
      </c>
      <c r="C798" s="12" t="s">
        <v>101</v>
      </c>
      <c r="D798" s="12" t="s">
        <v>2400</v>
      </c>
      <c r="E798" s="12" t="s">
        <v>13</v>
      </c>
      <c r="F798" s="12" t="s">
        <v>2401</v>
      </c>
    </row>
    <row x14ac:dyDescent="0.25" r="799" customHeight="1" ht="18.75" hidden="1">
      <c r="A799" s="12" t="s">
        <v>2402</v>
      </c>
      <c r="B799" s="9">
        <v>45733</v>
      </c>
      <c r="C799" s="12" t="s">
        <v>2</v>
      </c>
      <c r="D799" s="12" t="s">
        <v>2403</v>
      </c>
      <c r="E799" s="12" t="s">
        <v>2</v>
      </c>
      <c r="F799" s="12" t="s">
        <v>2404</v>
      </c>
    </row>
    <row x14ac:dyDescent="0.25" r="800" customHeight="1" ht="18.75" hidden="1">
      <c r="A800" s="12" t="s">
        <v>2405</v>
      </c>
      <c r="B800" s="9">
        <v>45733</v>
      </c>
      <c r="C800" s="12" t="s">
        <v>2</v>
      </c>
      <c r="D800" s="12" t="s">
        <v>2406</v>
      </c>
      <c r="E800" s="12" t="s">
        <v>2</v>
      </c>
      <c r="F800" s="12" t="s">
        <v>2407</v>
      </c>
    </row>
    <row x14ac:dyDescent="0.25" r="801" customHeight="1" ht="18.75" hidden="1">
      <c r="A801" s="12" t="s">
        <v>2408</v>
      </c>
      <c r="B801" s="9">
        <v>45733</v>
      </c>
      <c r="C801" s="12" t="s">
        <v>2</v>
      </c>
      <c r="D801" s="12" t="s">
        <v>2409</v>
      </c>
      <c r="E801" s="12" t="s">
        <v>2</v>
      </c>
      <c r="F801" s="12" t="s">
        <v>2410</v>
      </c>
    </row>
    <row x14ac:dyDescent="0.25" r="802" customHeight="1" ht="18.75" hidden="1">
      <c r="A802" s="12" t="s">
        <v>2411</v>
      </c>
      <c r="B802" s="9">
        <v>45733</v>
      </c>
      <c r="C802" s="12" t="s">
        <v>2</v>
      </c>
      <c r="D802" s="12" t="s">
        <v>2412</v>
      </c>
      <c r="E802" s="12" t="s">
        <v>2</v>
      </c>
      <c r="F802" s="12" t="s">
        <v>2413</v>
      </c>
    </row>
    <row x14ac:dyDescent="0.25" r="803" customHeight="1" ht="18.75" hidden="1">
      <c r="A803" s="12" t="s">
        <v>2414</v>
      </c>
      <c r="B803" s="9">
        <v>45733</v>
      </c>
      <c r="C803" s="12" t="s">
        <v>3</v>
      </c>
      <c r="D803" s="12" t="s">
        <v>2415</v>
      </c>
      <c r="E803" s="12" t="s">
        <v>3</v>
      </c>
      <c r="F803" s="12" t="s">
        <v>2416</v>
      </c>
    </row>
    <row x14ac:dyDescent="0.25" r="804" customHeight="1" ht="18.75" hidden="1">
      <c r="A804" s="12" t="s">
        <v>2417</v>
      </c>
      <c r="B804" s="9">
        <v>45733</v>
      </c>
      <c r="C804" s="12" t="s">
        <v>3</v>
      </c>
      <c r="D804" s="12" t="s">
        <v>2418</v>
      </c>
      <c r="E804" s="12" t="s">
        <v>3</v>
      </c>
      <c r="F804" s="12" t="s">
        <v>2419</v>
      </c>
    </row>
    <row x14ac:dyDescent="0.25" r="805" customHeight="1" ht="18.75" hidden="1">
      <c r="A805" s="12" t="s">
        <v>2420</v>
      </c>
      <c r="B805" s="9">
        <v>45732</v>
      </c>
      <c r="C805" s="12" t="s">
        <v>3</v>
      </c>
      <c r="D805" s="12" t="s">
        <v>2421</v>
      </c>
      <c r="E805" s="12" t="s">
        <v>3</v>
      </c>
      <c r="F805" s="12" t="s">
        <v>2422</v>
      </c>
    </row>
    <row x14ac:dyDescent="0.25" r="806" customHeight="1" ht="18.75" hidden="1">
      <c r="A806" s="12" t="s">
        <v>2423</v>
      </c>
      <c r="B806" s="9">
        <v>45732</v>
      </c>
      <c r="C806" s="12" t="s">
        <v>2</v>
      </c>
      <c r="D806" s="12" t="s">
        <v>2424</v>
      </c>
      <c r="E806" s="12" t="s">
        <v>2</v>
      </c>
      <c r="F806" s="12" t="s">
        <v>2425</v>
      </c>
    </row>
    <row x14ac:dyDescent="0.25" r="807" customHeight="1" ht="18.75" hidden="1">
      <c r="A807" s="12" t="s">
        <v>2426</v>
      </c>
      <c r="B807" s="9">
        <v>45731</v>
      </c>
      <c r="C807" s="12" t="s">
        <v>3</v>
      </c>
      <c r="D807" s="12" t="s">
        <v>2427</v>
      </c>
      <c r="E807" s="12" t="s">
        <v>3</v>
      </c>
      <c r="F807" s="12" t="s">
        <v>2428</v>
      </c>
    </row>
    <row x14ac:dyDescent="0.25" r="808" customHeight="1" ht="18.75" hidden="1">
      <c r="A808" s="12" t="s">
        <v>2429</v>
      </c>
      <c r="B808" s="9">
        <v>45731</v>
      </c>
      <c r="C808" s="12" t="s">
        <v>2</v>
      </c>
      <c r="D808" s="12" t="s">
        <v>2430</v>
      </c>
      <c r="E808" s="12" t="s">
        <v>2</v>
      </c>
      <c r="F808" s="12" t="s">
        <v>2431</v>
      </c>
    </row>
    <row x14ac:dyDescent="0.25" r="809" customHeight="1" ht="18.75" hidden="1">
      <c r="A809" s="12" t="s">
        <v>2432</v>
      </c>
      <c r="B809" s="9">
        <v>45731</v>
      </c>
      <c r="C809" s="12" t="s">
        <v>3</v>
      </c>
      <c r="D809" s="12" t="s">
        <v>2433</v>
      </c>
      <c r="E809" s="12" t="s">
        <v>3</v>
      </c>
      <c r="F809" s="12" t="s">
        <v>2434</v>
      </c>
    </row>
    <row x14ac:dyDescent="0.25" r="810" customHeight="1" ht="18.75" hidden="1">
      <c r="A810" s="12" t="s">
        <v>2435</v>
      </c>
      <c r="B810" s="9">
        <v>45731</v>
      </c>
      <c r="C810" s="12" t="s">
        <v>3</v>
      </c>
      <c r="D810" s="12" t="s">
        <v>2436</v>
      </c>
      <c r="E810" s="12" t="s">
        <v>3</v>
      </c>
      <c r="F810" s="12" t="s">
        <v>2437</v>
      </c>
    </row>
    <row x14ac:dyDescent="0.25" r="811" customHeight="1" ht="18.75" hidden="1">
      <c r="A811" s="12" t="s">
        <v>2438</v>
      </c>
      <c r="B811" s="9">
        <v>45731</v>
      </c>
      <c r="C811" s="12" t="s">
        <v>3</v>
      </c>
      <c r="D811" s="12" t="s">
        <v>2439</v>
      </c>
      <c r="E811" s="12" t="s">
        <v>3</v>
      </c>
      <c r="F811" s="12" t="s">
        <v>2440</v>
      </c>
    </row>
    <row x14ac:dyDescent="0.25" r="812" customHeight="1" ht="18.75" hidden="1">
      <c r="A812" s="12" t="s">
        <v>2441</v>
      </c>
      <c r="B812" s="9">
        <v>45731</v>
      </c>
      <c r="C812" s="12" t="s">
        <v>2</v>
      </c>
      <c r="D812" s="12" t="s">
        <v>2442</v>
      </c>
      <c r="E812" s="12" t="s">
        <v>2</v>
      </c>
      <c r="F812" s="12" t="s">
        <v>2443</v>
      </c>
    </row>
    <row x14ac:dyDescent="0.25" r="813" customHeight="1" ht="18.75" hidden="1">
      <c r="A813" s="12" t="s">
        <v>2444</v>
      </c>
      <c r="B813" s="9">
        <v>45730</v>
      </c>
      <c r="C813" s="12" t="s">
        <v>2</v>
      </c>
      <c r="D813" s="12" t="s">
        <v>2445</v>
      </c>
      <c r="E813" s="12" t="s">
        <v>2</v>
      </c>
      <c r="F813" s="12" t="s">
        <v>2446</v>
      </c>
    </row>
    <row x14ac:dyDescent="0.25" r="814" customHeight="1" ht="18.75" hidden="1">
      <c r="A814" s="12" t="s">
        <v>2447</v>
      </c>
      <c r="B814" s="9">
        <v>45730</v>
      </c>
      <c r="C814" s="12" t="s">
        <v>2</v>
      </c>
      <c r="D814" s="12" t="s">
        <v>2448</v>
      </c>
      <c r="E814" s="12" t="s">
        <v>2</v>
      </c>
      <c r="F814" s="12" t="s">
        <v>2449</v>
      </c>
    </row>
    <row x14ac:dyDescent="0.25" r="815" customHeight="1" ht="18.75">
      <c r="A815" s="12" t="s">
        <v>2450</v>
      </c>
      <c r="B815" s="9">
        <v>45730</v>
      </c>
      <c r="C815" s="12" t="s">
        <v>2</v>
      </c>
      <c r="D815" s="12" t="s">
        <v>2451</v>
      </c>
      <c r="E815" s="12" t="s">
        <v>13</v>
      </c>
      <c r="F815" s="12" t="s">
        <v>2452</v>
      </c>
    </row>
    <row x14ac:dyDescent="0.25" r="816" customHeight="1" ht="18.75" hidden="1">
      <c r="A816" s="12" t="s">
        <v>2453</v>
      </c>
      <c r="B816" s="9">
        <v>45730</v>
      </c>
      <c r="C816" s="12" t="s">
        <v>3</v>
      </c>
      <c r="D816" s="12" t="s">
        <v>2454</v>
      </c>
      <c r="E816" s="12" t="s">
        <v>3</v>
      </c>
      <c r="F816" s="12" t="s">
        <v>2455</v>
      </c>
    </row>
    <row x14ac:dyDescent="0.25" r="817" customHeight="1" ht="18.75" hidden="1">
      <c r="A817" s="12" t="s">
        <v>2456</v>
      </c>
      <c r="B817" s="9">
        <v>45730</v>
      </c>
      <c r="C817" s="12" t="s">
        <v>3</v>
      </c>
      <c r="D817" s="12" t="s">
        <v>2457</v>
      </c>
      <c r="E817" s="12" t="s">
        <v>3</v>
      </c>
      <c r="F817" s="12" t="s">
        <v>2458</v>
      </c>
    </row>
    <row x14ac:dyDescent="0.25" r="818" customHeight="1" ht="18.75" hidden="1">
      <c r="A818" s="12" t="s">
        <v>2459</v>
      </c>
      <c r="B818" s="9">
        <v>45729</v>
      </c>
      <c r="C818" s="12" t="s">
        <v>2</v>
      </c>
      <c r="D818" s="12" t="s">
        <v>2460</v>
      </c>
      <c r="E818" s="12" t="s">
        <v>2</v>
      </c>
      <c r="F818" s="12" t="s">
        <v>2461</v>
      </c>
    </row>
    <row x14ac:dyDescent="0.25" r="819" customHeight="1" ht="18.75" hidden="1">
      <c r="A819" s="12" t="s">
        <v>2462</v>
      </c>
      <c r="B819" s="9">
        <v>45729</v>
      </c>
      <c r="C819" s="12" t="s">
        <v>3</v>
      </c>
      <c r="D819" s="12" t="s">
        <v>2463</v>
      </c>
      <c r="E819" s="12" t="s">
        <v>3</v>
      </c>
      <c r="F819" s="12" t="s">
        <v>2464</v>
      </c>
    </row>
    <row x14ac:dyDescent="0.25" r="820" customHeight="1" ht="18.75" hidden="1">
      <c r="A820" s="12" t="s">
        <v>2465</v>
      </c>
      <c r="B820" s="9">
        <v>45729</v>
      </c>
      <c r="C820" s="12" t="s">
        <v>3</v>
      </c>
      <c r="D820" s="12" t="s">
        <v>2466</v>
      </c>
      <c r="E820" s="12" t="s">
        <v>3</v>
      </c>
      <c r="F820" s="12" t="s">
        <v>2467</v>
      </c>
    </row>
    <row x14ac:dyDescent="0.25" r="821" customHeight="1" ht="18.75" hidden="1">
      <c r="A821" s="12" t="s">
        <v>2468</v>
      </c>
      <c r="B821" s="9">
        <v>45729</v>
      </c>
      <c r="C821" s="12" t="s">
        <v>2</v>
      </c>
      <c r="D821" s="12" t="s">
        <v>2469</v>
      </c>
      <c r="E821" s="12" t="s">
        <v>109</v>
      </c>
      <c r="F821" s="12" t="s">
        <v>110</v>
      </c>
    </row>
    <row x14ac:dyDescent="0.25" r="822" customHeight="1" ht="18.75" hidden="1">
      <c r="A822" s="12" t="s">
        <v>2470</v>
      </c>
      <c r="B822" s="9">
        <v>45729</v>
      </c>
      <c r="C822" s="12" t="s">
        <v>3</v>
      </c>
      <c r="D822" s="12" t="s">
        <v>2471</v>
      </c>
      <c r="E822" s="12" t="s">
        <v>3</v>
      </c>
      <c r="F822" s="12" t="s">
        <v>2472</v>
      </c>
    </row>
    <row x14ac:dyDescent="0.25" r="823" customHeight="1" ht="18.75" hidden="1">
      <c r="A823" s="12" t="s">
        <v>2473</v>
      </c>
      <c r="B823" s="9">
        <v>45729</v>
      </c>
      <c r="C823" s="12" t="s">
        <v>3</v>
      </c>
      <c r="D823" s="12" t="s">
        <v>2474</v>
      </c>
      <c r="E823" s="12" t="s">
        <v>3</v>
      </c>
      <c r="F823" s="12" t="s">
        <v>2475</v>
      </c>
    </row>
    <row x14ac:dyDescent="0.25" r="824" customHeight="1" ht="18.75" hidden="1">
      <c r="A824" s="12" t="s">
        <v>2476</v>
      </c>
      <c r="B824" s="9">
        <v>45729</v>
      </c>
      <c r="C824" s="12" t="s">
        <v>13</v>
      </c>
      <c r="D824" s="12" t="s">
        <v>2477</v>
      </c>
      <c r="E824" s="12" t="s">
        <v>2</v>
      </c>
      <c r="F824" s="12" t="s">
        <v>2478</v>
      </c>
    </row>
    <row x14ac:dyDescent="0.25" r="825" customHeight="1" ht="18.75" hidden="1">
      <c r="A825" s="12" t="s">
        <v>2479</v>
      </c>
      <c r="B825" s="9">
        <v>45728</v>
      </c>
      <c r="C825" s="12" t="s">
        <v>3</v>
      </c>
      <c r="D825" s="12" t="s">
        <v>2480</v>
      </c>
      <c r="E825" s="12" t="s">
        <v>3</v>
      </c>
      <c r="F825" s="12" t="s">
        <v>2481</v>
      </c>
    </row>
    <row x14ac:dyDescent="0.25" r="826" customHeight="1" ht="18.75">
      <c r="A826" s="12" t="s">
        <v>2482</v>
      </c>
      <c r="B826" s="9">
        <v>45728</v>
      </c>
      <c r="C826" s="12" t="s">
        <v>3</v>
      </c>
      <c r="D826" s="12" t="s">
        <v>2483</v>
      </c>
      <c r="E826" s="12" t="s">
        <v>13</v>
      </c>
      <c r="F826" s="12" t="s">
        <v>2484</v>
      </c>
    </row>
    <row x14ac:dyDescent="0.25" r="827" customHeight="1" ht="18.75" hidden="1">
      <c r="A827" s="12" t="s">
        <v>2485</v>
      </c>
      <c r="B827" s="9">
        <v>45728</v>
      </c>
      <c r="C827" s="12" t="s">
        <v>3</v>
      </c>
      <c r="D827" s="12" t="s">
        <v>2486</v>
      </c>
      <c r="E827" s="12" t="s">
        <v>3</v>
      </c>
      <c r="F827" s="12" t="s">
        <v>2487</v>
      </c>
    </row>
    <row x14ac:dyDescent="0.25" r="828" customHeight="1" ht="18.75" hidden="1">
      <c r="A828" s="12" t="s">
        <v>2488</v>
      </c>
      <c r="B828" s="9">
        <v>45728</v>
      </c>
      <c r="C828" s="12" t="s">
        <v>2</v>
      </c>
      <c r="D828" s="12" t="s">
        <v>2489</v>
      </c>
      <c r="E828" s="12" t="s">
        <v>2</v>
      </c>
      <c r="F828" s="12" t="s">
        <v>2490</v>
      </c>
    </row>
    <row x14ac:dyDescent="0.25" r="829" customHeight="1" ht="18.75" hidden="1">
      <c r="A829" s="12" t="s">
        <v>2491</v>
      </c>
      <c r="B829" s="9">
        <v>45728</v>
      </c>
      <c r="C829" s="12" t="s">
        <v>3</v>
      </c>
      <c r="D829" s="12" t="s">
        <v>2492</v>
      </c>
      <c r="E829" s="12" t="s">
        <v>3</v>
      </c>
      <c r="F829" s="12" t="s">
        <v>2493</v>
      </c>
    </row>
    <row x14ac:dyDescent="0.25" r="830" customHeight="1" ht="18.75" hidden="1">
      <c r="A830" s="12" t="s">
        <v>2494</v>
      </c>
      <c r="B830" s="9">
        <v>45728</v>
      </c>
      <c r="C830" s="12" t="s">
        <v>2</v>
      </c>
      <c r="D830" s="12" t="s">
        <v>2495</v>
      </c>
      <c r="E830" s="12" t="s">
        <v>2</v>
      </c>
      <c r="F830" s="12" t="s">
        <v>2496</v>
      </c>
    </row>
    <row x14ac:dyDescent="0.25" r="831" customHeight="1" ht="18.75" hidden="1">
      <c r="A831" s="12" t="s">
        <v>2497</v>
      </c>
      <c r="B831" s="9">
        <v>45728</v>
      </c>
      <c r="C831" s="12" t="s">
        <v>2</v>
      </c>
      <c r="D831" s="12" t="s">
        <v>2498</v>
      </c>
      <c r="E831" s="12" t="s">
        <v>2</v>
      </c>
      <c r="F831" s="12" t="s">
        <v>2499</v>
      </c>
    </row>
    <row x14ac:dyDescent="0.25" r="832" customHeight="1" ht="18.75" hidden="1">
      <c r="A832" s="12" t="s">
        <v>2500</v>
      </c>
      <c r="B832" s="9">
        <v>45728</v>
      </c>
      <c r="C832" s="12" t="s">
        <v>2</v>
      </c>
      <c r="D832" s="12" t="s">
        <v>2501</v>
      </c>
      <c r="E832" s="12" t="s">
        <v>2</v>
      </c>
      <c r="F832" s="12" t="s">
        <v>2502</v>
      </c>
    </row>
    <row x14ac:dyDescent="0.25" r="833" customHeight="1" ht="18.75" hidden="1">
      <c r="A833" s="12" t="s">
        <v>2503</v>
      </c>
      <c r="B833" s="9">
        <v>45728</v>
      </c>
      <c r="C833" s="12" t="s">
        <v>2</v>
      </c>
      <c r="D833" s="12" t="s">
        <v>2504</v>
      </c>
      <c r="E833" s="12" t="s">
        <v>2</v>
      </c>
      <c r="F833" s="12" t="s">
        <v>2505</v>
      </c>
    </row>
    <row x14ac:dyDescent="0.25" r="834" customHeight="1" ht="18.75" hidden="1">
      <c r="A834" s="12" t="s">
        <v>2506</v>
      </c>
      <c r="B834" s="9">
        <v>45728</v>
      </c>
      <c r="C834" s="12" t="s">
        <v>2</v>
      </c>
      <c r="D834" s="12" t="s">
        <v>2507</v>
      </c>
      <c r="E834" s="12" t="s">
        <v>2</v>
      </c>
      <c r="F834" s="12" t="s">
        <v>2508</v>
      </c>
    </row>
    <row x14ac:dyDescent="0.25" r="835" customHeight="1" ht="18.75">
      <c r="A835" s="12" t="s">
        <v>2509</v>
      </c>
      <c r="B835" s="9">
        <v>45727</v>
      </c>
      <c r="C835" s="12" t="s">
        <v>101</v>
      </c>
      <c r="D835" s="12" t="s">
        <v>2510</v>
      </c>
      <c r="E835" s="12" t="s">
        <v>13</v>
      </c>
      <c r="F835" s="12" t="s">
        <v>2511</v>
      </c>
    </row>
    <row x14ac:dyDescent="0.25" r="836" customHeight="1" ht="18.75" hidden="1">
      <c r="A836" s="12" t="s">
        <v>2512</v>
      </c>
      <c r="B836" s="9">
        <v>45727</v>
      </c>
      <c r="C836" s="12" t="s">
        <v>3</v>
      </c>
      <c r="D836" s="12" t="s">
        <v>2513</v>
      </c>
      <c r="E836" s="12" t="s">
        <v>3</v>
      </c>
      <c r="F836" s="12" t="s">
        <v>2514</v>
      </c>
    </row>
    <row x14ac:dyDescent="0.25" r="837" customHeight="1" ht="18.75" hidden="1">
      <c r="A837" s="12" t="s">
        <v>2515</v>
      </c>
      <c r="B837" s="9">
        <v>45727</v>
      </c>
      <c r="C837" s="12" t="s">
        <v>2</v>
      </c>
      <c r="D837" s="12" t="s">
        <v>2516</v>
      </c>
      <c r="E837" s="12" t="s">
        <v>2</v>
      </c>
      <c r="F837" s="12" t="s">
        <v>2517</v>
      </c>
    </row>
    <row x14ac:dyDescent="0.25" r="838" customHeight="1" ht="18.75" hidden="1">
      <c r="A838" s="12" t="s">
        <v>2518</v>
      </c>
      <c r="B838" s="9">
        <v>45727</v>
      </c>
      <c r="C838" s="12" t="s">
        <v>3</v>
      </c>
      <c r="D838" s="12" t="s">
        <v>2519</v>
      </c>
      <c r="E838" s="12" t="s">
        <v>3</v>
      </c>
      <c r="F838" s="12" t="s">
        <v>2520</v>
      </c>
    </row>
    <row x14ac:dyDescent="0.25" r="839" customHeight="1" ht="18.75" hidden="1">
      <c r="A839" s="12" t="s">
        <v>2521</v>
      </c>
      <c r="B839" s="9">
        <v>45727</v>
      </c>
      <c r="C839" s="12" t="s">
        <v>3</v>
      </c>
      <c r="D839" s="12" t="s">
        <v>2522</v>
      </c>
      <c r="E839" s="12" t="s">
        <v>3</v>
      </c>
      <c r="F839" s="12" t="s">
        <v>2523</v>
      </c>
    </row>
    <row x14ac:dyDescent="0.25" r="840" customHeight="1" ht="18.75" hidden="1">
      <c r="A840" s="12" t="s">
        <v>2524</v>
      </c>
      <c r="B840" s="9">
        <v>45727</v>
      </c>
      <c r="C840" s="12" t="s">
        <v>2</v>
      </c>
      <c r="D840" s="12" t="s">
        <v>2525</v>
      </c>
      <c r="E840" s="12" t="s">
        <v>2</v>
      </c>
      <c r="F840" s="12" t="s">
        <v>2526</v>
      </c>
    </row>
    <row x14ac:dyDescent="0.25" r="841" customHeight="1" ht="18.75">
      <c r="A841" s="12" t="s">
        <v>2527</v>
      </c>
      <c r="B841" s="9">
        <v>45727</v>
      </c>
      <c r="C841" s="12" t="s">
        <v>13</v>
      </c>
      <c r="D841" s="12" t="s">
        <v>2528</v>
      </c>
      <c r="E841" s="12" t="s">
        <v>13</v>
      </c>
      <c r="F841" s="12" t="s">
        <v>2529</v>
      </c>
    </row>
    <row x14ac:dyDescent="0.25" r="842" customHeight="1" ht="18.75" hidden="1">
      <c r="A842" s="12" t="s">
        <v>2530</v>
      </c>
      <c r="B842" s="9">
        <v>45727</v>
      </c>
      <c r="C842" s="12" t="s">
        <v>2</v>
      </c>
      <c r="D842" s="12" t="s">
        <v>2531</v>
      </c>
      <c r="E842" s="12" t="s">
        <v>2</v>
      </c>
      <c r="F842" s="12" t="s">
        <v>2532</v>
      </c>
    </row>
    <row x14ac:dyDescent="0.25" r="843" customHeight="1" ht="18.75">
      <c r="A843" s="12" t="s">
        <v>2533</v>
      </c>
      <c r="B843" s="9">
        <v>45727</v>
      </c>
      <c r="C843" s="12" t="s">
        <v>101</v>
      </c>
      <c r="D843" s="12" t="s">
        <v>2534</v>
      </c>
      <c r="E843" s="12" t="s">
        <v>13</v>
      </c>
      <c r="F843" s="12" t="s">
        <v>2535</v>
      </c>
    </row>
    <row x14ac:dyDescent="0.25" r="844" customHeight="1" ht="18.75">
      <c r="A844" s="12" t="s">
        <v>2536</v>
      </c>
      <c r="B844" s="9">
        <v>45727</v>
      </c>
      <c r="C844" s="12" t="s">
        <v>101</v>
      </c>
      <c r="D844" s="12" t="s">
        <v>2537</v>
      </c>
      <c r="E844" s="12" t="s">
        <v>13</v>
      </c>
      <c r="F844" s="12" t="s">
        <v>2538</v>
      </c>
    </row>
    <row x14ac:dyDescent="0.25" r="845" customHeight="1" ht="18.75">
      <c r="A845" s="12" t="s">
        <v>2539</v>
      </c>
      <c r="B845" s="9">
        <v>45727</v>
      </c>
      <c r="C845" s="12" t="s">
        <v>2</v>
      </c>
      <c r="D845" s="12" t="s">
        <v>2540</v>
      </c>
      <c r="E845" s="12" t="s">
        <v>4</v>
      </c>
      <c r="F845" s="12" t="s">
        <v>2541</v>
      </c>
    </row>
    <row x14ac:dyDescent="0.25" r="846" customHeight="1" ht="18.75" hidden="1">
      <c r="A846" s="12" t="s">
        <v>2542</v>
      </c>
      <c r="B846" s="9">
        <v>45726</v>
      </c>
      <c r="C846" s="12" t="s">
        <v>3</v>
      </c>
      <c r="D846" s="12" t="s">
        <v>2543</v>
      </c>
      <c r="E846" s="12" t="s">
        <v>3</v>
      </c>
      <c r="F846" s="12" t="s">
        <v>2544</v>
      </c>
    </row>
    <row x14ac:dyDescent="0.25" r="847" customHeight="1" ht="18.75" hidden="1">
      <c r="A847" s="12" t="s">
        <v>2545</v>
      </c>
      <c r="B847" s="9">
        <v>45726</v>
      </c>
      <c r="C847" s="12" t="s">
        <v>2</v>
      </c>
      <c r="D847" s="12" t="s">
        <v>2546</v>
      </c>
      <c r="E847" s="12" t="s">
        <v>2</v>
      </c>
      <c r="F847" s="12" t="s">
        <v>2547</v>
      </c>
    </row>
    <row x14ac:dyDescent="0.25" r="848" customHeight="1" ht="18.75">
      <c r="A848" s="12" t="s">
        <v>2548</v>
      </c>
      <c r="B848" s="9">
        <v>45726</v>
      </c>
      <c r="C848" s="12" t="s">
        <v>13</v>
      </c>
      <c r="D848" s="12" t="s">
        <v>2548</v>
      </c>
      <c r="E848" s="12" t="s">
        <v>13</v>
      </c>
      <c r="F848" s="12" t="s">
        <v>2549</v>
      </c>
    </row>
    <row x14ac:dyDescent="0.25" r="849" customHeight="1" ht="18.75" hidden="1">
      <c r="A849" s="12" t="s">
        <v>2550</v>
      </c>
      <c r="B849" s="9">
        <v>45726</v>
      </c>
      <c r="C849" s="12" t="s">
        <v>3</v>
      </c>
      <c r="D849" s="12" t="s">
        <v>2551</v>
      </c>
      <c r="E849" s="12" t="s">
        <v>3</v>
      </c>
      <c r="F849" s="12" t="s">
        <v>2552</v>
      </c>
    </row>
    <row x14ac:dyDescent="0.25" r="850" customHeight="1" ht="18.75">
      <c r="A850" s="12" t="s">
        <v>2553</v>
      </c>
      <c r="B850" s="9">
        <v>45726</v>
      </c>
      <c r="C850" s="12" t="s">
        <v>13</v>
      </c>
      <c r="D850" s="12" t="s">
        <v>2554</v>
      </c>
      <c r="E850" s="12" t="s">
        <v>13</v>
      </c>
      <c r="F850" s="12" t="s">
        <v>2555</v>
      </c>
    </row>
    <row x14ac:dyDescent="0.25" r="851" customHeight="1" ht="18.75" hidden="1">
      <c r="A851" s="12" t="s">
        <v>2556</v>
      </c>
      <c r="B851" s="9">
        <v>45725</v>
      </c>
      <c r="C851" s="12" t="s">
        <v>3</v>
      </c>
      <c r="D851" s="12" t="s">
        <v>2557</v>
      </c>
      <c r="E851" s="12" t="s">
        <v>3</v>
      </c>
      <c r="F851" s="12" t="s">
        <v>2558</v>
      </c>
    </row>
    <row x14ac:dyDescent="0.25" r="852" customHeight="1" ht="18.75" hidden="1">
      <c r="A852" s="12" t="s">
        <v>2559</v>
      </c>
      <c r="B852" s="9">
        <v>45724</v>
      </c>
      <c r="C852" s="12" t="s">
        <v>2</v>
      </c>
      <c r="D852" s="12" t="s">
        <v>2560</v>
      </c>
      <c r="E852" s="12" t="s">
        <v>2</v>
      </c>
      <c r="F852" s="12" t="s">
        <v>2561</v>
      </c>
    </row>
    <row x14ac:dyDescent="0.25" r="853" customHeight="1" ht="18.75" hidden="1">
      <c r="A853" s="12" t="s">
        <v>2562</v>
      </c>
      <c r="B853" s="9">
        <v>45724</v>
      </c>
      <c r="C853" s="12" t="s">
        <v>3</v>
      </c>
      <c r="D853" s="12" t="s">
        <v>2563</v>
      </c>
      <c r="E853" s="12" t="s">
        <v>3</v>
      </c>
      <c r="F853" s="12" t="s">
        <v>2564</v>
      </c>
    </row>
    <row x14ac:dyDescent="0.25" r="854" customHeight="1" ht="18.75" hidden="1">
      <c r="A854" s="12" t="s">
        <v>2565</v>
      </c>
      <c r="B854" s="9">
        <v>45724</v>
      </c>
      <c r="C854" s="12" t="s">
        <v>2</v>
      </c>
      <c r="D854" s="12" t="s">
        <v>2566</v>
      </c>
      <c r="E854" s="12" t="s">
        <v>2</v>
      </c>
      <c r="F854" s="12" t="s">
        <v>2567</v>
      </c>
    </row>
    <row x14ac:dyDescent="0.25" r="855" customHeight="1" ht="18.75" hidden="1">
      <c r="A855" s="12" t="s">
        <v>2568</v>
      </c>
      <c r="B855" s="9">
        <v>45724</v>
      </c>
      <c r="C855" s="12" t="s">
        <v>3</v>
      </c>
      <c r="D855" s="12" t="s">
        <v>2569</v>
      </c>
      <c r="E855" s="12" t="s">
        <v>3</v>
      </c>
      <c r="F855" s="12" t="s">
        <v>2570</v>
      </c>
    </row>
    <row x14ac:dyDescent="0.25" r="856" customHeight="1" ht="18.75" hidden="1">
      <c r="A856" s="12" t="s">
        <v>2571</v>
      </c>
      <c r="B856" s="9">
        <v>45724</v>
      </c>
      <c r="C856" s="12" t="s">
        <v>3</v>
      </c>
      <c r="D856" s="12" t="s">
        <v>2572</v>
      </c>
      <c r="E856" s="12" t="s">
        <v>3</v>
      </c>
      <c r="F856" s="12" t="s">
        <v>2573</v>
      </c>
    </row>
    <row x14ac:dyDescent="0.25" r="857" customHeight="1" ht="18.75" hidden="1">
      <c r="A857" s="12" t="s">
        <v>2574</v>
      </c>
      <c r="B857" s="9">
        <v>45723</v>
      </c>
      <c r="C857" s="12" t="s">
        <v>3</v>
      </c>
      <c r="D857" s="12" t="s">
        <v>2575</v>
      </c>
      <c r="E857" s="12" t="s">
        <v>3</v>
      </c>
      <c r="F857" s="12" t="s">
        <v>2576</v>
      </c>
    </row>
    <row x14ac:dyDescent="0.25" r="858" customHeight="1" ht="18.75">
      <c r="A858" s="12" t="s">
        <v>2577</v>
      </c>
      <c r="B858" s="9">
        <v>45723</v>
      </c>
      <c r="C858" s="12" t="s">
        <v>101</v>
      </c>
      <c r="D858" s="12" t="s">
        <v>2578</v>
      </c>
      <c r="E858" s="12" t="s">
        <v>4</v>
      </c>
      <c r="F858" s="12" t="s">
        <v>2579</v>
      </c>
    </row>
    <row x14ac:dyDescent="0.25" r="859" customHeight="1" ht="18.75" hidden="1">
      <c r="A859" s="12" t="s">
        <v>2580</v>
      </c>
      <c r="B859" s="9">
        <v>45723</v>
      </c>
      <c r="C859" s="12" t="s">
        <v>3</v>
      </c>
      <c r="D859" s="12" t="s">
        <v>2581</v>
      </c>
      <c r="E859" s="12" t="s">
        <v>3</v>
      </c>
      <c r="F859" s="12" t="s">
        <v>2582</v>
      </c>
    </row>
    <row x14ac:dyDescent="0.25" r="860" customHeight="1" ht="18.75" hidden="1">
      <c r="A860" s="12" t="s">
        <v>2583</v>
      </c>
      <c r="B860" s="9">
        <v>45723</v>
      </c>
      <c r="C860" s="12" t="s">
        <v>2</v>
      </c>
      <c r="D860" s="12" t="s">
        <v>2584</v>
      </c>
      <c r="E860" s="12" t="s">
        <v>2</v>
      </c>
      <c r="F860" s="12" t="s">
        <v>2585</v>
      </c>
    </row>
    <row x14ac:dyDescent="0.25" r="861" customHeight="1" ht="18.75" hidden="1">
      <c r="A861" s="12" t="s">
        <v>2586</v>
      </c>
      <c r="B861" s="9">
        <v>45723</v>
      </c>
      <c r="C861" s="12" t="s">
        <v>3</v>
      </c>
      <c r="D861" s="12" t="s">
        <v>2587</v>
      </c>
      <c r="E861" s="12" t="s">
        <v>3</v>
      </c>
      <c r="F861" s="12" t="s">
        <v>2588</v>
      </c>
    </row>
    <row x14ac:dyDescent="0.25" r="862" customHeight="1" ht="18.75" hidden="1">
      <c r="A862" s="12" t="s">
        <v>2589</v>
      </c>
      <c r="B862" s="9">
        <v>45723</v>
      </c>
      <c r="C862" s="12" t="s">
        <v>3</v>
      </c>
      <c r="D862" s="12" t="s">
        <v>2590</v>
      </c>
      <c r="E862" s="12" t="s">
        <v>3</v>
      </c>
      <c r="F862" s="12" t="s">
        <v>2591</v>
      </c>
    </row>
    <row x14ac:dyDescent="0.25" r="863" customHeight="1" ht="18.75" hidden="1">
      <c r="A863" s="12" t="s">
        <v>2592</v>
      </c>
      <c r="B863" s="9">
        <v>45723</v>
      </c>
      <c r="C863" s="12" t="s">
        <v>3</v>
      </c>
      <c r="D863" s="12" t="s">
        <v>2593</v>
      </c>
      <c r="E863" s="12" t="s">
        <v>3</v>
      </c>
      <c r="F863" s="12" t="s">
        <v>2594</v>
      </c>
    </row>
    <row x14ac:dyDescent="0.25" r="864" customHeight="1" ht="18.75" hidden="1">
      <c r="A864" s="12" t="s">
        <v>2595</v>
      </c>
      <c r="B864" s="9">
        <v>45722</v>
      </c>
      <c r="C864" s="12" t="s">
        <v>2</v>
      </c>
      <c r="D864" s="12" t="s">
        <v>2596</v>
      </c>
      <c r="E864" s="12" t="s">
        <v>2</v>
      </c>
      <c r="F864" s="12" t="s">
        <v>2597</v>
      </c>
    </row>
    <row x14ac:dyDescent="0.25" r="865" customHeight="1" ht="18.75" hidden="1">
      <c r="A865" s="12" t="s">
        <v>2598</v>
      </c>
      <c r="B865" s="9">
        <v>45722</v>
      </c>
      <c r="C865" s="12" t="s">
        <v>2</v>
      </c>
      <c r="D865" s="12" t="s">
        <v>2599</v>
      </c>
      <c r="E865" s="12" t="s">
        <v>2</v>
      </c>
      <c r="F865" s="12" t="s">
        <v>2600</v>
      </c>
    </row>
    <row x14ac:dyDescent="0.25" r="866" customHeight="1" ht="18.75" hidden="1">
      <c r="A866" s="12" t="s">
        <v>2601</v>
      </c>
      <c r="B866" s="9">
        <v>45722</v>
      </c>
      <c r="C866" s="12" t="s">
        <v>2</v>
      </c>
      <c r="D866" s="12" t="s">
        <v>2602</v>
      </c>
      <c r="E866" s="12" t="s">
        <v>2</v>
      </c>
      <c r="F866" s="12" t="s">
        <v>2603</v>
      </c>
    </row>
    <row x14ac:dyDescent="0.25" r="867" customHeight="1" ht="18.75">
      <c r="A867" s="12" t="s">
        <v>2604</v>
      </c>
      <c r="B867" s="9">
        <v>45722</v>
      </c>
      <c r="C867" s="12" t="s">
        <v>101</v>
      </c>
      <c r="D867" s="12" t="s">
        <v>2605</v>
      </c>
      <c r="E867" s="12" t="s">
        <v>13</v>
      </c>
      <c r="F867" s="12" t="s">
        <v>2606</v>
      </c>
    </row>
    <row x14ac:dyDescent="0.25" r="868" customHeight="1" ht="18.75" hidden="1">
      <c r="A868" s="12" t="s">
        <v>2607</v>
      </c>
      <c r="B868" s="9">
        <v>45722</v>
      </c>
      <c r="C868" s="12" t="s">
        <v>101</v>
      </c>
      <c r="D868" s="12" t="s">
        <v>2608</v>
      </c>
      <c r="E868" s="12" t="s">
        <v>3</v>
      </c>
      <c r="F868" s="12" t="s">
        <v>2609</v>
      </c>
    </row>
    <row x14ac:dyDescent="0.25" r="869" customHeight="1" ht="18.75" hidden="1">
      <c r="A869" s="12" t="s">
        <v>2610</v>
      </c>
      <c r="B869" s="9">
        <v>45722</v>
      </c>
      <c r="C869" s="12" t="s">
        <v>3</v>
      </c>
      <c r="D869" s="12" t="s">
        <v>2611</v>
      </c>
      <c r="E869" s="12" t="s">
        <v>3</v>
      </c>
      <c r="F869" s="12" t="s">
        <v>2612</v>
      </c>
    </row>
    <row x14ac:dyDescent="0.25" r="870" customHeight="1" ht="18.75">
      <c r="A870" s="12" t="s">
        <v>2613</v>
      </c>
      <c r="B870" s="9">
        <v>45721</v>
      </c>
      <c r="C870" s="12" t="s">
        <v>13</v>
      </c>
      <c r="D870" s="12" t="s">
        <v>2614</v>
      </c>
      <c r="E870" s="12" t="s">
        <v>13</v>
      </c>
      <c r="F870" s="12" t="s">
        <v>2615</v>
      </c>
    </row>
    <row x14ac:dyDescent="0.25" r="871" customHeight="1" ht="18.75" hidden="1">
      <c r="A871" s="12" t="s">
        <v>2616</v>
      </c>
      <c r="B871" s="9">
        <v>45721</v>
      </c>
      <c r="C871" s="12" t="s">
        <v>3</v>
      </c>
      <c r="D871" s="12" t="s">
        <v>2617</v>
      </c>
      <c r="E871" s="12" t="s">
        <v>3</v>
      </c>
      <c r="F871" s="12" t="s">
        <v>2618</v>
      </c>
    </row>
    <row x14ac:dyDescent="0.25" r="872" customHeight="1" ht="18.75" hidden="1">
      <c r="A872" s="12" t="s">
        <v>2619</v>
      </c>
      <c r="B872" s="9">
        <v>45721</v>
      </c>
      <c r="C872" s="12" t="s">
        <v>3</v>
      </c>
      <c r="D872" s="12" t="s">
        <v>2620</v>
      </c>
      <c r="E872" s="12" t="s">
        <v>3</v>
      </c>
      <c r="F872" s="12" t="s">
        <v>2621</v>
      </c>
    </row>
    <row x14ac:dyDescent="0.25" r="873" customHeight="1" ht="18.75" hidden="1">
      <c r="A873" s="12" t="s">
        <v>2622</v>
      </c>
      <c r="B873" s="9">
        <v>45721</v>
      </c>
      <c r="C873" s="12" t="s">
        <v>2</v>
      </c>
      <c r="D873" s="12" t="s">
        <v>2623</v>
      </c>
      <c r="E873" s="12" t="s">
        <v>2</v>
      </c>
      <c r="F873" s="12" t="s">
        <v>2624</v>
      </c>
    </row>
    <row x14ac:dyDescent="0.25" r="874" customHeight="1" ht="18.75" hidden="1">
      <c r="A874" s="12" t="s">
        <v>2625</v>
      </c>
      <c r="B874" s="9">
        <v>45721</v>
      </c>
      <c r="C874" s="12" t="s">
        <v>3</v>
      </c>
      <c r="D874" s="12" t="s">
        <v>2626</v>
      </c>
      <c r="E874" s="12" t="s">
        <v>3</v>
      </c>
      <c r="F874" s="12" t="s">
        <v>2627</v>
      </c>
    </row>
    <row x14ac:dyDescent="0.25" r="875" customHeight="1" ht="18.75" hidden="1">
      <c r="A875" s="12" t="s">
        <v>2628</v>
      </c>
      <c r="B875" s="9">
        <v>45721</v>
      </c>
      <c r="C875" s="12" t="s">
        <v>3</v>
      </c>
      <c r="D875" s="12" t="s">
        <v>2629</v>
      </c>
      <c r="E875" s="12" t="s">
        <v>3</v>
      </c>
      <c r="F875" s="12" t="s">
        <v>2630</v>
      </c>
    </row>
    <row x14ac:dyDescent="0.25" r="876" customHeight="1" ht="18.75" hidden="1">
      <c r="A876" s="12" t="s">
        <v>2631</v>
      </c>
      <c r="B876" s="9">
        <v>45721</v>
      </c>
      <c r="C876" s="12" t="s">
        <v>3</v>
      </c>
      <c r="D876" s="12" t="s">
        <v>2632</v>
      </c>
      <c r="E876" s="12" t="s">
        <v>3</v>
      </c>
      <c r="F876" s="12" t="s">
        <v>2633</v>
      </c>
    </row>
    <row x14ac:dyDescent="0.25" r="877" customHeight="1" ht="18.75" hidden="1">
      <c r="A877" s="12" t="s">
        <v>2634</v>
      </c>
      <c r="B877" s="9">
        <v>45720</v>
      </c>
      <c r="C877" s="12" t="s">
        <v>3</v>
      </c>
      <c r="D877" s="12" t="s">
        <v>2635</v>
      </c>
      <c r="E877" s="12" t="s">
        <v>3</v>
      </c>
      <c r="F877" s="12" t="s">
        <v>2636</v>
      </c>
    </row>
    <row x14ac:dyDescent="0.25" r="878" customHeight="1" ht="18.75" hidden="1">
      <c r="A878" s="12" t="s">
        <v>2637</v>
      </c>
      <c r="B878" s="9">
        <v>45720</v>
      </c>
      <c r="C878" s="12" t="s">
        <v>2</v>
      </c>
      <c r="D878" s="12" t="s">
        <v>2638</v>
      </c>
      <c r="E878" s="12" t="s">
        <v>2</v>
      </c>
      <c r="F878" s="12" t="s">
        <v>2639</v>
      </c>
    </row>
    <row x14ac:dyDescent="0.25" r="879" customHeight="1" ht="18.75" hidden="1">
      <c r="A879" s="12" t="s">
        <v>2640</v>
      </c>
      <c r="B879" s="9">
        <v>45720</v>
      </c>
      <c r="C879" s="12" t="s">
        <v>3</v>
      </c>
      <c r="D879" s="12" t="s">
        <v>2641</v>
      </c>
      <c r="E879" s="12" t="s">
        <v>3</v>
      </c>
      <c r="F879" s="12" t="s">
        <v>2642</v>
      </c>
    </row>
    <row x14ac:dyDescent="0.25" r="880" customHeight="1" ht="18.75" hidden="1">
      <c r="A880" s="12" t="s">
        <v>2643</v>
      </c>
      <c r="B880" s="9">
        <v>45720</v>
      </c>
      <c r="C880" s="12" t="s">
        <v>101</v>
      </c>
      <c r="D880" s="12" t="s">
        <v>2644</v>
      </c>
      <c r="E880" s="12" t="s">
        <v>2</v>
      </c>
      <c r="F880" s="12" t="s">
        <v>2645</v>
      </c>
    </row>
    <row x14ac:dyDescent="0.25" r="881" customHeight="1" ht="18.75" hidden="1">
      <c r="A881" s="12" t="s">
        <v>2646</v>
      </c>
      <c r="B881" s="9">
        <v>45720</v>
      </c>
      <c r="C881" s="12" t="s">
        <v>3</v>
      </c>
      <c r="D881" s="12" t="s">
        <v>2647</v>
      </c>
      <c r="E881" s="12" t="s">
        <v>2</v>
      </c>
      <c r="F881" s="12" t="s">
        <v>2648</v>
      </c>
    </row>
    <row x14ac:dyDescent="0.25" r="882" customHeight="1" ht="18.75" hidden="1">
      <c r="A882" s="12" t="s">
        <v>2649</v>
      </c>
      <c r="B882" s="9">
        <v>45720</v>
      </c>
      <c r="C882" s="12" t="s">
        <v>2</v>
      </c>
      <c r="D882" s="12" t="s">
        <v>2650</v>
      </c>
      <c r="E882" s="12" t="s">
        <v>2</v>
      </c>
      <c r="F882" s="12" t="s">
        <v>2651</v>
      </c>
    </row>
    <row x14ac:dyDescent="0.25" r="883" customHeight="1" ht="18.75" hidden="1">
      <c r="A883" s="12" t="s">
        <v>2652</v>
      </c>
      <c r="B883" s="9">
        <v>45720</v>
      </c>
      <c r="C883" s="12" t="s">
        <v>3</v>
      </c>
      <c r="D883" s="12" t="s">
        <v>2653</v>
      </c>
      <c r="E883" s="12" t="s">
        <v>3</v>
      </c>
      <c r="F883" s="12" t="s">
        <v>2654</v>
      </c>
    </row>
    <row x14ac:dyDescent="0.25" r="884" customHeight="1" ht="18.75" hidden="1">
      <c r="A884" s="12" t="s">
        <v>2655</v>
      </c>
      <c r="B884" s="9">
        <v>45720</v>
      </c>
      <c r="C884" s="12" t="s">
        <v>3</v>
      </c>
      <c r="D884" s="12" t="s">
        <v>2656</v>
      </c>
      <c r="E884" s="12" t="s">
        <v>3</v>
      </c>
      <c r="F884" s="12" t="s">
        <v>2657</v>
      </c>
    </row>
    <row x14ac:dyDescent="0.25" r="885" customHeight="1" ht="18.75" hidden="1">
      <c r="A885" s="12" t="s">
        <v>2658</v>
      </c>
      <c r="B885" s="9">
        <v>45720</v>
      </c>
      <c r="C885" s="12" t="s">
        <v>3</v>
      </c>
      <c r="D885" s="12" t="s">
        <v>2659</v>
      </c>
      <c r="E885" s="12" t="s">
        <v>3</v>
      </c>
      <c r="F885" s="12" t="s">
        <v>2660</v>
      </c>
    </row>
    <row x14ac:dyDescent="0.25" r="886" customHeight="1" ht="18.75" hidden="1">
      <c r="A886" s="12" t="s">
        <v>2661</v>
      </c>
      <c r="B886" s="9">
        <v>45720</v>
      </c>
      <c r="C886" s="12" t="s">
        <v>3</v>
      </c>
      <c r="D886" s="12" t="s">
        <v>2662</v>
      </c>
      <c r="E886" s="12" t="s">
        <v>3</v>
      </c>
      <c r="F886" s="12" t="s">
        <v>2663</v>
      </c>
    </row>
    <row x14ac:dyDescent="0.25" r="887" customHeight="1" ht="18.75" hidden="1">
      <c r="A887" s="12" t="s">
        <v>2664</v>
      </c>
      <c r="B887" s="9">
        <v>45720</v>
      </c>
      <c r="C887" s="12" t="s">
        <v>3</v>
      </c>
      <c r="D887" s="12" t="s">
        <v>2665</v>
      </c>
      <c r="E887" s="12" t="s">
        <v>3</v>
      </c>
      <c r="F887" s="12" t="s">
        <v>2666</v>
      </c>
    </row>
    <row x14ac:dyDescent="0.25" r="888" customHeight="1" ht="18.75" hidden="1">
      <c r="A888" s="12" t="s">
        <v>2667</v>
      </c>
      <c r="B888" s="9">
        <v>45720</v>
      </c>
      <c r="C888" s="12" t="s">
        <v>3</v>
      </c>
      <c r="D888" s="12" t="s">
        <v>2668</v>
      </c>
      <c r="E888" s="12" t="s">
        <v>3</v>
      </c>
      <c r="F888" s="12" t="s">
        <v>2669</v>
      </c>
    </row>
    <row x14ac:dyDescent="0.25" r="889" customHeight="1" ht="18.75" hidden="1">
      <c r="A889" s="12" t="s">
        <v>2670</v>
      </c>
      <c r="B889" s="9">
        <v>45719</v>
      </c>
      <c r="C889" s="12" t="s">
        <v>3</v>
      </c>
      <c r="D889" s="12" t="s">
        <v>2671</v>
      </c>
      <c r="E889" s="12" t="s">
        <v>3</v>
      </c>
      <c r="F889" s="12" t="s">
        <v>2672</v>
      </c>
    </row>
    <row x14ac:dyDescent="0.25" r="890" customHeight="1" ht="18.75" hidden="1">
      <c r="A890" s="12" t="s">
        <v>2673</v>
      </c>
      <c r="B890" s="9">
        <v>45719</v>
      </c>
      <c r="C890" s="12" t="s">
        <v>2</v>
      </c>
      <c r="D890" s="12" t="s">
        <v>2674</v>
      </c>
      <c r="E890" s="12" t="s">
        <v>2</v>
      </c>
      <c r="F890" s="12" t="s">
        <v>2675</v>
      </c>
    </row>
    <row x14ac:dyDescent="0.25" r="891" customHeight="1" ht="18.75" hidden="1">
      <c r="A891" s="12" t="s">
        <v>2676</v>
      </c>
      <c r="B891" s="9">
        <v>45719</v>
      </c>
      <c r="C891" s="12" t="s">
        <v>3</v>
      </c>
      <c r="D891" s="12" t="s">
        <v>2677</v>
      </c>
      <c r="E891" s="12" t="s">
        <v>3</v>
      </c>
      <c r="F891" s="12" t="s">
        <v>2678</v>
      </c>
    </row>
    <row x14ac:dyDescent="0.25" r="892" customHeight="1" ht="18.75" hidden="1">
      <c r="A892" s="12" t="s">
        <v>2679</v>
      </c>
      <c r="B892" s="9">
        <v>45718</v>
      </c>
      <c r="C892" s="12" t="s">
        <v>2</v>
      </c>
      <c r="D892" s="12" t="s">
        <v>2680</v>
      </c>
      <c r="E892" s="12" t="s">
        <v>2</v>
      </c>
      <c r="F892" s="12" t="s">
        <v>2681</v>
      </c>
    </row>
    <row x14ac:dyDescent="0.25" r="893" customHeight="1" ht="18.75" hidden="1">
      <c r="A893" s="12" t="s">
        <v>2682</v>
      </c>
      <c r="B893" s="9">
        <v>45716</v>
      </c>
      <c r="C893" s="12" t="s">
        <v>3</v>
      </c>
      <c r="D893" s="12" t="s">
        <v>2683</v>
      </c>
      <c r="E893" s="12" t="s">
        <v>3</v>
      </c>
      <c r="F893" s="12" t="s">
        <v>2684</v>
      </c>
    </row>
    <row x14ac:dyDescent="0.25" r="894" customHeight="1" ht="18.75" hidden="1">
      <c r="A894" s="12" t="s">
        <v>2685</v>
      </c>
      <c r="B894" s="9">
        <v>45716</v>
      </c>
      <c r="C894" s="12" t="s">
        <v>3</v>
      </c>
      <c r="D894" s="12" t="s">
        <v>2686</v>
      </c>
      <c r="E894" s="12" t="s">
        <v>3</v>
      </c>
      <c r="F894" s="12" t="s">
        <v>2687</v>
      </c>
    </row>
    <row x14ac:dyDescent="0.25" r="895" customHeight="1" ht="18.75" hidden="1">
      <c r="A895" s="12" t="s">
        <v>2688</v>
      </c>
      <c r="B895" s="9">
        <v>45716</v>
      </c>
      <c r="C895" s="12" t="s">
        <v>3</v>
      </c>
      <c r="D895" s="12" t="s">
        <v>2689</v>
      </c>
      <c r="E895" s="12" t="s">
        <v>3</v>
      </c>
      <c r="F895" s="12" t="s">
        <v>2690</v>
      </c>
    </row>
    <row x14ac:dyDescent="0.25" r="896" customHeight="1" ht="18.75">
      <c r="A896" s="12" t="s">
        <v>2691</v>
      </c>
      <c r="B896" s="9">
        <v>45716</v>
      </c>
      <c r="C896" s="12" t="s">
        <v>13</v>
      </c>
      <c r="D896" s="12" t="s">
        <v>2692</v>
      </c>
      <c r="E896" s="12" t="s">
        <v>13</v>
      </c>
      <c r="F896" s="12" t="s">
        <v>2693</v>
      </c>
    </row>
    <row x14ac:dyDescent="0.25" r="897" customHeight="1" ht="18.75" hidden="1">
      <c r="A897" s="12" t="s">
        <v>2694</v>
      </c>
      <c r="B897" s="9">
        <v>45715</v>
      </c>
      <c r="C897" s="12" t="s">
        <v>3</v>
      </c>
      <c r="D897" s="12" t="s">
        <v>2695</v>
      </c>
      <c r="E897" s="12" t="s">
        <v>3</v>
      </c>
      <c r="F897" s="12" t="s">
        <v>2696</v>
      </c>
    </row>
    <row x14ac:dyDescent="0.25" r="898" customHeight="1" ht="18.75" hidden="1">
      <c r="A898" s="12" t="s">
        <v>2697</v>
      </c>
      <c r="B898" s="9">
        <v>45715</v>
      </c>
      <c r="C898" s="12" t="s">
        <v>3</v>
      </c>
      <c r="D898" s="12" t="s">
        <v>2698</v>
      </c>
      <c r="E898" s="12" t="s">
        <v>2</v>
      </c>
      <c r="F898" s="12" t="s">
        <v>2699</v>
      </c>
    </row>
    <row x14ac:dyDescent="0.25" r="899" customHeight="1" ht="18.75" hidden="1">
      <c r="A899" s="12" t="s">
        <v>2700</v>
      </c>
      <c r="B899" s="9">
        <v>45715</v>
      </c>
      <c r="C899" s="12" t="s">
        <v>3</v>
      </c>
      <c r="D899" s="12" t="s">
        <v>2701</v>
      </c>
      <c r="E899" s="12" t="s">
        <v>3</v>
      </c>
      <c r="F899" s="12" t="s">
        <v>2702</v>
      </c>
    </row>
    <row x14ac:dyDescent="0.25" r="900" customHeight="1" ht="18.75" hidden="1">
      <c r="A900" s="12" t="s">
        <v>2703</v>
      </c>
      <c r="B900" s="9">
        <v>45715</v>
      </c>
      <c r="C900" s="12" t="s">
        <v>2</v>
      </c>
      <c r="D900" s="12" t="s">
        <v>2704</v>
      </c>
      <c r="E900" s="12" t="s">
        <v>2</v>
      </c>
      <c r="F900" s="12" t="s">
        <v>2705</v>
      </c>
    </row>
    <row x14ac:dyDescent="0.25" r="901" customHeight="1" ht="18.75" hidden="1">
      <c r="A901" s="12" t="s">
        <v>2706</v>
      </c>
      <c r="B901" s="9">
        <v>45714</v>
      </c>
      <c r="C901" s="12" t="s">
        <v>3</v>
      </c>
      <c r="D901" s="12" t="s">
        <v>2707</v>
      </c>
      <c r="E901" s="12" t="s">
        <v>3</v>
      </c>
      <c r="F901" s="12" t="s">
        <v>2708</v>
      </c>
    </row>
    <row x14ac:dyDescent="0.25" r="902" customHeight="1" ht="18.75" hidden="1">
      <c r="A902" s="12" t="s">
        <v>2709</v>
      </c>
      <c r="B902" s="9">
        <v>45714</v>
      </c>
      <c r="C902" s="12" t="s">
        <v>3</v>
      </c>
      <c r="D902" s="12" t="s">
        <v>2710</v>
      </c>
      <c r="E902" s="12" t="s">
        <v>3</v>
      </c>
      <c r="F902" s="12" t="s">
        <v>2711</v>
      </c>
    </row>
    <row x14ac:dyDescent="0.25" r="903" customHeight="1" ht="18.75" hidden="1">
      <c r="A903" s="12" t="s">
        <v>2712</v>
      </c>
      <c r="B903" s="9">
        <v>45713</v>
      </c>
      <c r="C903" s="12" t="s">
        <v>2</v>
      </c>
      <c r="D903" s="12" t="s">
        <v>2713</v>
      </c>
      <c r="E903" s="12" t="s">
        <v>2</v>
      </c>
      <c r="F903" s="12" t="s">
        <v>2714</v>
      </c>
    </row>
    <row x14ac:dyDescent="0.25" r="904" customHeight="1" ht="18.75" hidden="1">
      <c r="A904" s="12" t="s">
        <v>2715</v>
      </c>
      <c r="B904" s="9">
        <v>45713</v>
      </c>
      <c r="C904" s="12" t="s">
        <v>3</v>
      </c>
      <c r="D904" s="12" t="s">
        <v>2716</v>
      </c>
      <c r="E904" s="12" t="s">
        <v>3</v>
      </c>
      <c r="F904" s="12" t="s">
        <v>2717</v>
      </c>
    </row>
    <row x14ac:dyDescent="0.25" r="905" customHeight="1" ht="18.75" hidden="1">
      <c r="A905" s="12" t="s">
        <v>2718</v>
      </c>
      <c r="B905" s="9">
        <v>45713</v>
      </c>
      <c r="C905" s="12" t="s">
        <v>2</v>
      </c>
      <c r="D905" s="12" t="s">
        <v>2719</v>
      </c>
      <c r="E905" s="12" t="s">
        <v>2</v>
      </c>
      <c r="F905" s="12" t="s">
        <v>2720</v>
      </c>
    </row>
    <row x14ac:dyDescent="0.25" r="906" customHeight="1" ht="18.75" hidden="1">
      <c r="A906" s="12" t="s">
        <v>2721</v>
      </c>
      <c r="B906" s="9">
        <v>45712</v>
      </c>
      <c r="C906" s="12" t="s">
        <v>3</v>
      </c>
      <c r="D906" s="12" t="s">
        <v>2722</v>
      </c>
      <c r="E906" s="12" t="s">
        <v>3</v>
      </c>
      <c r="F906" s="12" t="s">
        <v>2723</v>
      </c>
    </row>
    <row x14ac:dyDescent="0.25" r="907" customHeight="1" ht="18.75" hidden="1">
      <c r="A907" s="12" t="s">
        <v>2724</v>
      </c>
      <c r="B907" s="9">
        <v>45711</v>
      </c>
      <c r="C907" s="12" t="s">
        <v>3</v>
      </c>
      <c r="D907" s="12" t="s">
        <v>2725</v>
      </c>
      <c r="E907" s="12" t="s">
        <v>3</v>
      </c>
      <c r="F907" s="12" t="s">
        <v>2726</v>
      </c>
    </row>
    <row x14ac:dyDescent="0.25" r="908" customHeight="1" ht="18.75" hidden="1">
      <c r="A908" s="12" t="s">
        <v>2727</v>
      </c>
      <c r="B908" s="9">
        <v>45710</v>
      </c>
      <c r="C908" s="12" t="s">
        <v>3</v>
      </c>
      <c r="D908" s="12" t="s">
        <v>2728</v>
      </c>
      <c r="E908" s="12" t="s">
        <v>3</v>
      </c>
      <c r="F908" s="12" t="s">
        <v>2729</v>
      </c>
    </row>
    <row x14ac:dyDescent="0.25" r="909" customHeight="1" ht="18.75" hidden="1">
      <c r="A909" s="12" t="s">
        <v>2730</v>
      </c>
      <c r="B909" s="9">
        <v>45710</v>
      </c>
      <c r="C909" s="12" t="s">
        <v>3</v>
      </c>
      <c r="D909" s="12" t="s">
        <v>2731</v>
      </c>
      <c r="E909" s="12" t="s">
        <v>3</v>
      </c>
      <c r="F909" s="12" t="s">
        <v>2732</v>
      </c>
    </row>
    <row x14ac:dyDescent="0.25" r="910" customHeight="1" ht="18.75" hidden="1">
      <c r="A910" s="12" t="s">
        <v>2733</v>
      </c>
      <c r="B910" s="9">
        <v>45709</v>
      </c>
      <c r="C910" s="12" t="s">
        <v>2</v>
      </c>
      <c r="D910" s="12" t="s">
        <v>2734</v>
      </c>
      <c r="E910" s="12" t="s">
        <v>2</v>
      </c>
      <c r="F910" s="12" t="s">
        <v>2735</v>
      </c>
    </row>
    <row x14ac:dyDescent="0.25" r="911" customHeight="1" ht="18.75" hidden="1">
      <c r="A911" s="12" t="s">
        <v>2736</v>
      </c>
      <c r="B911" s="9">
        <v>45709</v>
      </c>
      <c r="C911" s="12" t="s">
        <v>3</v>
      </c>
      <c r="D911" s="12" t="s">
        <v>2737</v>
      </c>
      <c r="E911" s="12" t="s">
        <v>3</v>
      </c>
      <c r="F911" s="12" t="s">
        <v>2738</v>
      </c>
    </row>
    <row x14ac:dyDescent="0.25" r="912" customHeight="1" ht="18.75">
      <c r="A912" s="12" t="s">
        <v>2739</v>
      </c>
      <c r="B912" s="9">
        <v>45709</v>
      </c>
      <c r="C912" s="12" t="s">
        <v>13</v>
      </c>
      <c r="D912" s="12" t="s">
        <v>2740</v>
      </c>
      <c r="E912" s="12" t="s">
        <v>13</v>
      </c>
      <c r="F912" s="12" t="s">
        <v>2741</v>
      </c>
    </row>
    <row x14ac:dyDescent="0.25" r="913" customHeight="1" ht="18.75" hidden="1">
      <c r="A913" s="12" t="s">
        <v>2742</v>
      </c>
      <c r="B913" s="9">
        <v>45708</v>
      </c>
      <c r="C913" s="12" t="s">
        <v>2</v>
      </c>
      <c r="D913" s="12" t="s">
        <v>2743</v>
      </c>
      <c r="E913" s="12" t="s">
        <v>2</v>
      </c>
      <c r="F913" s="12" t="s">
        <v>2744</v>
      </c>
    </row>
    <row x14ac:dyDescent="0.25" r="914" customHeight="1" ht="18.75">
      <c r="A914" s="12" t="s">
        <v>2745</v>
      </c>
      <c r="B914" s="9">
        <v>45708</v>
      </c>
      <c r="C914" s="12" t="s">
        <v>2</v>
      </c>
      <c r="D914" s="12" t="s">
        <v>2746</v>
      </c>
      <c r="E914" s="12" t="s">
        <v>13</v>
      </c>
      <c r="F914" s="12" t="s">
        <v>2747</v>
      </c>
    </row>
    <row x14ac:dyDescent="0.25" r="915" customHeight="1" ht="18.75" hidden="1">
      <c r="A915" s="12" t="s">
        <v>2748</v>
      </c>
      <c r="B915" s="9">
        <v>45708</v>
      </c>
      <c r="C915" s="12" t="s">
        <v>2</v>
      </c>
      <c r="D915" s="12" t="s">
        <v>2749</v>
      </c>
      <c r="E915" s="12" t="s">
        <v>2</v>
      </c>
      <c r="F915" s="12" t="s">
        <v>2750</v>
      </c>
    </row>
    <row x14ac:dyDescent="0.25" r="916" customHeight="1" ht="18.75">
      <c r="A916" s="12" t="s">
        <v>2751</v>
      </c>
      <c r="B916" s="9">
        <v>45708</v>
      </c>
      <c r="C916" s="12" t="s">
        <v>13</v>
      </c>
      <c r="D916" s="12" t="s">
        <v>2752</v>
      </c>
      <c r="E916" s="12" t="s">
        <v>13</v>
      </c>
      <c r="F916" s="12" t="s">
        <v>2753</v>
      </c>
    </row>
    <row x14ac:dyDescent="0.25" r="917" customHeight="1" ht="18.75" hidden="1">
      <c r="A917" s="12" t="s">
        <v>2754</v>
      </c>
      <c r="B917" s="9">
        <v>45707</v>
      </c>
      <c r="C917" s="12" t="s">
        <v>2</v>
      </c>
      <c r="D917" s="12" t="s">
        <v>2755</v>
      </c>
      <c r="E917" s="12" t="s">
        <v>2</v>
      </c>
      <c r="F917" s="12" t="s">
        <v>2756</v>
      </c>
    </row>
    <row x14ac:dyDescent="0.25" r="918" customHeight="1" ht="18.75">
      <c r="A918" s="12" t="s">
        <v>2757</v>
      </c>
      <c r="B918" s="9">
        <v>45707</v>
      </c>
      <c r="C918" s="12" t="s">
        <v>101</v>
      </c>
      <c r="D918" s="12" t="s">
        <v>2758</v>
      </c>
      <c r="E918" s="12" t="s">
        <v>13</v>
      </c>
      <c r="F918" s="12" t="s">
        <v>2759</v>
      </c>
    </row>
    <row x14ac:dyDescent="0.25" r="919" customHeight="1" ht="18.75">
      <c r="A919" s="12" t="s">
        <v>2760</v>
      </c>
      <c r="B919" s="9">
        <v>45707</v>
      </c>
      <c r="C919" s="12" t="s">
        <v>13</v>
      </c>
      <c r="D919" s="12" t="s">
        <v>2761</v>
      </c>
      <c r="E919" s="12" t="s">
        <v>13</v>
      </c>
      <c r="F919" s="12" t="s">
        <v>2762</v>
      </c>
    </row>
    <row x14ac:dyDescent="0.25" r="920" customHeight="1" ht="18.75" hidden="1">
      <c r="A920" s="12" t="s">
        <v>2763</v>
      </c>
      <c r="B920" s="9">
        <v>45707</v>
      </c>
      <c r="C920" s="12" t="s">
        <v>2</v>
      </c>
      <c r="D920" s="12" t="s">
        <v>2764</v>
      </c>
      <c r="E920" s="12" t="s">
        <v>2</v>
      </c>
      <c r="F920" s="12" t="s">
        <v>2765</v>
      </c>
    </row>
    <row x14ac:dyDescent="0.25" r="921" customHeight="1" ht="18.75" hidden="1">
      <c r="A921" s="12" t="s">
        <v>2766</v>
      </c>
      <c r="B921" s="9">
        <v>45706</v>
      </c>
      <c r="C921" s="12" t="s">
        <v>2</v>
      </c>
      <c r="D921" s="12" t="s">
        <v>2767</v>
      </c>
      <c r="E921" s="12" t="s">
        <v>2</v>
      </c>
      <c r="F921" s="12" t="s">
        <v>2768</v>
      </c>
    </row>
    <row x14ac:dyDescent="0.25" r="922" customHeight="1" ht="18.75" hidden="1">
      <c r="A922" s="12" t="s">
        <v>2769</v>
      </c>
      <c r="B922" s="9">
        <v>45706</v>
      </c>
      <c r="C922" s="12" t="s">
        <v>2</v>
      </c>
      <c r="D922" s="12" t="s">
        <v>2770</v>
      </c>
      <c r="E922" s="12" t="s">
        <v>2</v>
      </c>
      <c r="F922" s="12" t="s">
        <v>2771</v>
      </c>
    </row>
    <row x14ac:dyDescent="0.25" r="923" customHeight="1" ht="18.75" hidden="1">
      <c r="A923" s="12" t="s">
        <v>2772</v>
      </c>
      <c r="B923" s="9">
        <v>45706</v>
      </c>
      <c r="C923" s="12" t="s">
        <v>2</v>
      </c>
      <c r="D923" s="12" t="s">
        <v>2773</v>
      </c>
      <c r="E923" s="12" t="s">
        <v>2</v>
      </c>
      <c r="F923" s="12" t="s">
        <v>2774</v>
      </c>
    </row>
    <row x14ac:dyDescent="0.25" r="924" customHeight="1" ht="18.75" hidden="1">
      <c r="A924" s="12" t="s">
        <v>2775</v>
      </c>
      <c r="B924" s="9">
        <v>45705</v>
      </c>
      <c r="C924" s="12" t="s">
        <v>3</v>
      </c>
      <c r="D924" s="12" t="s">
        <v>2776</v>
      </c>
      <c r="E924" s="12" t="s">
        <v>3</v>
      </c>
      <c r="F924" s="12" t="s">
        <v>2777</v>
      </c>
    </row>
    <row x14ac:dyDescent="0.25" r="925" customHeight="1" ht="18.75" hidden="1">
      <c r="A925" s="12" t="s">
        <v>2778</v>
      </c>
      <c r="B925" s="9">
        <v>45705</v>
      </c>
      <c r="C925" s="12" t="s">
        <v>2</v>
      </c>
      <c r="D925" s="12" t="s">
        <v>2779</v>
      </c>
      <c r="E925" s="12" t="s">
        <v>2</v>
      </c>
      <c r="F925" s="12" t="s">
        <v>2780</v>
      </c>
    </row>
    <row x14ac:dyDescent="0.25" r="926" customHeight="1" ht="18.75" hidden="1">
      <c r="A926" s="12" t="s">
        <v>2781</v>
      </c>
      <c r="B926" s="9">
        <v>45705</v>
      </c>
      <c r="C926" s="12" t="s">
        <v>3</v>
      </c>
      <c r="D926" s="12" t="s">
        <v>2782</v>
      </c>
      <c r="E926" s="12" t="s">
        <v>3</v>
      </c>
      <c r="F926" s="12" t="s">
        <v>2783</v>
      </c>
    </row>
    <row x14ac:dyDescent="0.25" r="927" customHeight="1" ht="18.75" hidden="1">
      <c r="A927" s="12" t="s">
        <v>2784</v>
      </c>
      <c r="B927" s="9">
        <v>45703</v>
      </c>
      <c r="C927" s="12" t="s">
        <v>2</v>
      </c>
      <c r="D927" s="12" t="s">
        <v>2785</v>
      </c>
      <c r="E927" s="12" t="s">
        <v>2</v>
      </c>
      <c r="F927" s="12" t="s">
        <v>2786</v>
      </c>
    </row>
    <row x14ac:dyDescent="0.25" r="928" customHeight="1" ht="18.75">
      <c r="A928" s="12" t="s">
        <v>2787</v>
      </c>
      <c r="B928" s="9">
        <v>45702</v>
      </c>
      <c r="C928" s="12" t="s">
        <v>13</v>
      </c>
      <c r="D928" s="12" t="s">
        <v>2788</v>
      </c>
      <c r="E928" s="12" t="s">
        <v>13</v>
      </c>
      <c r="F928" s="12" t="s">
        <v>2789</v>
      </c>
    </row>
    <row x14ac:dyDescent="0.25" r="929" customHeight="1" ht="18.75">
      <c r="A929" s="12" t="s">
        <v>2790</v>
      </c>
      <c r="B929" s="9">
        <v>45702</v>
      </c>
      <c r="C929" s="12" t="s">
        <v>101</v>
      </c>
      <c r="D929" s="12" t="s">
        <v>2791</v>
      </c>
      <c r="E929" s="12" t="s">
        <v>13</v>
      </c>
      <c r="F929" s="12" t="s">
        <v>2792</v>
      </c>
    </row>
    <row x14ac:dyDescent="0.25" r="930" customHeight="1" ht="18.75" hidden="1">
      <c r="A930" s="12" t="s">
        <v>2793</v>
      </c>
      <c r="B930" s="9">
        <v>45702</v>
      </c>
      <c r="C930" s="12" t="s">
        <v>2</v>
      </c>
      <c r="D930" s="12" t="s">
        <v>2794</v>
      </c>
      <c r="E930" s="12" t="s">
        <v>2</v>
      </c>
      <c r="F930" s="12" t="s">
        <v>2795</v>
      </c>
    </row>
    <row x14ac:dyDescent="0.25" r="931" customHeight="1" ht="18.75" hidden="1">
      <c r="A931" s="12" t="s">
        <v>2796</v>
      </c>
      <c r="B931" s="9">
        <v>45702</v>
      </c>
      <c r="C931" s="12" t="s">
        <v>3</v>
      </c>
      <c r="D931" s="12" t="s">
        <v>2797</v>
      </c>
      <c r="E931" s="12" t="s">
        <v>3</v>
      </c>
      <c r="F931" s="12" t="s">
        <v>2798</v>
      </c>
    </row>
    <row x14ac:dyDescent="0.25" r="932" customHeight="1" ht="18.75" hidden="1">
      <c r="A932" s="12" t="s">
        <v>2799</v>
      </c>
      <c r="B932" s="9">
        <v>45702</v>
      </c>
      <c r="C932" s="12" t="s">
        <v>2</v>
      </c>
      <c r="D932" s="12" t="s">
        <v>2800</v>
      </c>
      <c r="E932" s="12" t="s">
        <v>2</v>
      </c>
      <c r="F932" s="12" t="s">
        <v>2801</v>
      </c>
    </row>
    <row x14ac:dyDescent="0.25" r="933" customHeight="1" ht="18.75">
      <c r="A933" s="12" t="s">
        <v>2802</v>
      </c>
      <c r="B933" s="9">
        <v>45701</v>
      </c>
      <c r="C933" s="12" t="s">
        <v>101</v>
      </c>
      <c r="D933" s="12" t="s">
        <v>2803</v>
      </c>
      <c r="E933" s="12" t="s">
        <v>13</v>
      </c>
      <c r="F933" s="12" t="s">
        <v>2804</v>
      </c>
    </row>
    <row x14ac:dyDescent="0.25" r="934" customHeight="1" ht="18.75" hidden="1">
      <c r="A934" s="12" t="s">
        <v>2805</v>
      </c>
      <c r="B934" s="9">
        <v>45701</v>
      </c>
      <c r="C934" s="12" t="s">
        <v>2</v>
      </c>
      <c r="D934" s="12" t="s">
        <v>2806</v>
      </c>
      <c r="E934" s="12" t="s">
        <v>2</v>
      </c>
      <c r="F934" s="12" t="s">
        <v>2807</v>
      </c>
    </row>
    <row x14ac:dyDescent="0.25" r="935" customHeight="1" ht="18.75" hidden="1">
      <c r="A935" s="12" t="s">
        <v>2808</v>
      </c>
      <c r="B935" s="9">
        <v>45700</v>
      </c>
      <c r="C935" s="12" t="s">
        <v>3</v>
      </c>
      <c r="D935" s="12" t="s">
        <v>2809</v>
      </c>
      <c r="E935" s="12" t="s">
        <v>3</v>
      </c>
      <c r="F935" s="12" t="s">
        <v>2810</v>
      </c>
    </row>
    <row x14ac:dyDescent="0.25" r="936" customHeight="1" ht="18.75" hidden="1">
      <c r="A936" s="12" t="s">
        <v>2811</v>
      </c>
      <c r="B936" s="9">
        <v>45700</v>
      </c>
      <c r="C936" s="12" t="s">
        <v>3</v>
      </c>
      <c r="D936" s="12" t="s">
        <v>2812</v>
      </c>
      <c r="E936" s="12" t="s">
        <v>3</v>
      </c>
      <c r="F936" s="12" t="s">
        <v>2813</v>
      </c>
    </row>
    <row x14ac:dyDescent="0.25" r="937" customHeight="1" ht="18.75" hidden="1">
      <c r="A937" s="12" t="s">
        <v>2814</v>
      </c>
      <c r="B937" s="9">
        <v>45700</v>
      </c>
      <c r="C937" s="12" t="s">
        <v>3</v>
      </c>
      <c r="D937" s="12" t="s">
        <v>2815</v>
      </c>
      <c r="E937" s="12" t="s">
        <v>3</v>
      </c>
      <c r="F937" s="12" t="s">
        <v>2816</v>
      </c>
    </row>
    <row x14ac:dyDescent="0.25" r="938" customHeight="1" ht="18.75" hidden="1">
      <c r="A938" s="12" t="s">
        <v>2817</v>
      </c>
      <c r="B938" s="9">
        <v>45700</v>
      </c>
      <c r="C938" s="12" t="s">
        <v>2</v>
      </c>
      <c r="D938" s="12" t="s">
        <v>2818</v>
      </c>
      <c r="E938" s="12" t="s">
        <v>2</v>
      </c>
      <c r="F938" s="12" t="s">
        <v>2819</v>
      </c>
    </row>
    <row x14ac:dyDescent="0.25" r="939" customHeight="1" ht="18.75" hidden="1">
      <c r="A939" s="12" t="s">
        <v>2820</v>
      </c>
      <c r="B939" s="9">
        <v>45700</v>
      </c>
      <c r="C939" s="12" t="s">
        <v>3</v>
      </c>
      <c r="D939" s="12" t="s">
        <v>2821</v>
      </c>
      <c r="E939" s="12" t="s">
        <v>3</v>
      </c>
      <c r="F939" s="12" t="s">
        <v>2822</v>
      </c>
    </row>
    <row x14ac:dyDescent="0.25" r="940" customHeight="1" ht="18.75" hidden="1">
      <c r="A940" s="12" t="s">
        <v>2823</v>
      </c>
      <c r="B940" s="9">
        <v>45699</v>
      </c>
      <c r="C940" s="12" t="s">
        <v>3</v>
      </c>
      <c r="D940" s="12" t="s">
        <v>2824</v>
      </c>
      <c r="E940" s="12" t="s">
        <v>3</v>
      </c>
      <c r="F940" s="12" t="s">
        <v>2825</v>
      </c>
    </row>
    <row x14ac:dyDescent="0.25" r="941" customHeight="1" ht="18.75">
      <c r="A941" s="12" t="s">
        <v>2826</v>
      </c>
      <c r="B941" s="9">
        <v>45699</v>
      </c>
      <c r="C941" s="12" t="s">
        <v>13</v>
      </c>
      <c r="D941" s="12" t="s">
        <v>2827</v>
      </c>
      <c r="E941" s="12" t="s">
        <v>13</v>
      </c>
      <c r="F941" s="12" t="s">
        <v>109</v>
      </c>
    </row>
    <row x14ac:dyDescent="0.25" r="942" customHeight="1" ht="18.75" hidden="1">
      <c r="A942" s="12" t="s">
        <v>2828</v>
      </c>
      <c r="B942" s="9">
        <v>45699</v>
      </c>
      <c r="C942" s="12" t="s">
        <v>2</v>
      </c>
      <c r="D942" s="12" t="s">
        <v>2829</v>
      </c>
      <c r="E942" s="12" t="s">
        <v>109</v>
      </c>
      <c r="F942" s="12" t="s">
        <v>110</v>
      </c>
    </row>
    <row x14ac:dyDescent="0.25" r="943" customHeight="1" ht="18.75" hidden="1">
      <c r="A943" s="12" t="s">
        <v>2830</v>
      </c>
      <c r="B943" s="9">
        <v>45699</v>
      </c>
      <c r="C943" s="12" t="s">
        <v>3</v>
      </c>
      <c r="D943" s="12" t="s">
        <v>2831</v>
      </c>
      <c r="E943" s="12" t="s">
        <v>109</v>
      </c>
      <c r="F943" s="12" t="s">
        <v>110</v>
      </c>
    </row>
    <row x14ac:dyDescent="0.25" r="944" customHeight="1" ht="18.75" hidden="1">
      <c r="A944" s="12" t="s">
        <v>2832</v>
      </c>
      <c r="B944" s="9">
        <v>45699</v>
      </c>
      <c r="C944" s="12" t="s">
        <v>2</v>
      </c>
      <c r="D944" s="12" t="s">
        <v>2833</v>
      </c>
      <c r="E944" s="12" t="s">
        <v>109</v>
      </c>
      <c r="F944" s="12" t="s">
        <v>110</v>
      </c>
    </row>
    <row x14ac:dyDescent="0.25" r="945" customHeight="1" ht="18.75" hidden="1">
      <c r="A945" s="12" t="s">
        <v>2834</v>
      </c>
      <c r="B945" s="9">
        <v>45698</v>
      </c>
      <c r="C945" s="12" t="s">
        <v>101</v>
      </c>
      <c r="D945" s="12" t="s">
        <v>2835</v>
      </c>
      <c r="E945" s="12" t="s">
        <v>109</v>
      </c>
      <c r="F945" s="12" t="s">
        <v>110</v>
      </c>
    </row>
    <row x14ac:dyDescent="0.25" r="946" customHeight="1" ht="18.75" hidden="1">
      <c r="A946" s="12" t="s">
        <v>2836</v>
      </c>
      <c r="B946" s="9">
        <v>45698</v>
      </c>
      <c r="C946" s="12" t="s">
        <v>2</v>
      </c>
      <c r="D946" s="12" t="s">
        <v>2837</v>
      </c>
      <c r="E946" s="12" t="s">
        <v>109</v>
      </c>
      <c r="F946" s="12" t="s">
        <v>110</v>
      </c>
    </row>
    <row x14ac:dyDescent="0.25" r="947" customHeight="1" ht="18.75" hidden="1">
      <c r="A947" s="12" t="s">
        <v>2838</v>
      </c>
      <c r="B947" s="9">
        <v>45698</v>
      </c>
      <c r="C947" s="12" t="s">
        <v>2</v>
      </c>
      <c r="D947" s="12" t="s">
        <v>2839</v>
      </c>
      <c r="E947" s="12" t="s">
        <v>109</v>
      </c>
      <c r="F947" s="12" t="s">
        <v>110</v>
      </c>
    </row>
    <row x14ac:dyDescent="0.25" r="948" customHeight="1" ht="18.75" hidden="1">
      <c r="A948" s="12" t="s">
        <v>2840</v>
      </c>
      <c r="B948" s="9">
        <v>45698</v>
      </c>
      <c r="C948" s="12" t="s">
        <v>2</v>
      </c>
      <c r="D948" s="12" t="s">
        <v>2841</v>
      </c>
      <c r="E948" s="12" t="s">
        <v>109</v>
      </c>
      <c r="F948" s="12" t="s">
        <v>110</v>
      </c>
    </row>
    <row x14ac:dyDescent="0.25" r="949" customHeight="1" ht="18.75" hidden="1">
      <c r="A949" s="12" t="s">
        <v>2842</v>
      </c>
      <c r="B949" s="9">
        <v>45698</v>
      </c>
      <c r="C949" s="12" t="s">
        <v>2</v>
      </c>
      <c r="D949" s="12" t="s">
        <v>2843</v>
      </c>
      <c r="E949" s="12" t="s">
        <v>2</v>
      </c>
      <c r="F949" s="12" t="s">
        <v>2844</v>
      </c>
    </row>
    <row x14ac:dyDescent="0.25" r="950" customHeight="1" ht="18.75" hidden="1">
      <c r="A950" s="12" t="s">
        <v>2845</v>
      </c>
      <c r="B950" s="9">
        <v>45698</v>
      </c>
      <c r="C950" s="12" t="s">
        <v>2</v>
      </c>
      <c r="D950" s="12" t="s">
        <v>2846</v>
      </c>
      <c r="E950" s="12" t="s">
        <v>2</v>
      </c>
      <c r="F950" s="12" t="s">
        <v>2847</v>
      </c>
    </row>
    <row x14ac:dyDescent="0.25" r="951" customHeight="1" ht="18.75" hidden="1">
      <c r="A951" s="12" t="s">
        <v>2848</v>
      </c>
      <c r="B951" s="9">
        <v>45697</v>
      </c>
      <c r="C951" s="12" t="s">
        <v>2</v>
      </c>
      <c r="D951" s="12" t="s">
        <v>2849</v>
      </c>
      <c r="E951" s="12" t="s">
        <v>2</v>
      </c>
      <c r="F951" s="12" t="s">
        <v>2850</v>
      </c>
    </row>
    <row x14ac:dyDescent="0.25" r="952" customHeight="1" ht="18.75" hidden="1">
      <c r="A952" s="12" t="s">
        <v>2851</v>
      </c>
      <c r="B952" s="9">
        <v>45695</v>
      </c>
      <c r="C952" s="12" t="s">
        <v>3</v>
      </c>
      <c r="D952" s="12" t="s">
        <v>2852</v>
      </c>
      <c r="E952" s="12" t="s">
        <v>3</v>
      </c>
      <c r="F952" s="12" t="s">
        <v>2853</v>
      </c>
    </row>
    <row x14ac:dyDescent="0.25" r="953" customHeight="1" ht="18.75" hidden="1">
      <c r="A953" s="12" t="s">
        <v>2854</v>
      </c>
      <c r="B953" s="9">
        <v>45695</v>
      </c>
      <c r="C953" s="12" t="s">
        <v>3</v>
      </c>
      <c r="D953" s="12" t="s">
        <v>2855</v>
      </c>
      <c r="E953" s="12" t="s">
        <v>3</v>
      </c>
      <c r="F953" s="12" t="s">
        <v>2856</v>
      </c>
    </row>
    <row x14ac:dyDescent="0.25" r="954" customHeight="1" ht="18.75" hidden="1">
      <c r="A954" s="12" t="s">
        <v>2857</v>
      </c>
      <c r="B954" s="9">
        <v>45694</v>
      </c>
      <c r="C954" s="12" t="s">
        <v>3</v>
      </c>
      <c r="D954" s="12" t="s">
        <v>2858</v>
      </c>
      <c r="E954" s="12" t="s">
        <v>3</v>
      </c>
      <c r="F954" s="12" t="s">
        <v>2859</v>
      </c>
    </row>
    <row x14ac:dyDescent="0.25" r="955" customHeight="1" ht="18.75" hidden="1">
      <c r="A955" s="12" t="s">
        <v>2860</v>
      </c>
      <c r="B955" s="9">
        <v>45694</v>
      </c>
      <c r="C955" s="12" t="s">
        <v>3</v>
      </c>
      <c r="D955" s="12" t="s">
        <v>2861</v>
      </c>
      <c r="E955" s="12" t="s">
        <v>3</v>
      </c>
      <c r="F955" s="12" t="s">
        <v>2862</v>
      </c>
    </row>
    <row x14ac:dyDescent="0.25" r="956" customHeight="1" ht="18.75" hidden="1">
      <c r="A956" s="12" t="s">
        <v>2863</v>
      </c>
      <c r="B956" s="9">
        <v>45694</v>
      </c>
      <c r="C956" s="12" t="s">
        <v>3</v>
      </c>
      <c r="D956" s="12" t="s">
        <v>2864</v>
      </c>
      <c r="E956" s="12" t="s">
        <v>3</v>
      </c>
      <c r="F956" s="12" t="s">
        <v>2865</v>
      </c>
    </row>
    <row x14ac:dyDescent="0.25" r="957" customHeight="1" ht="18.75">
      <c r="A957" s="12" t="s">
        <v>2866</v>
      </c>
      <c r="B957" s="9">
        <v>45693</v>
      </c>
      <c r="C957" s="12" t="s">
        <v>13</v>
      </c>
      <c r="D957" s="12" t="s">
        <v>2867</v>
      </c>
      <c r="E957" s="12" t="s">
        <v>13</v>
      </c>
      <c r="F957" s="12" t="s">
        <v>2868</v>
      </c>
    </row>
    <row x14ac:dyDescent="0.25" r="958" customHeight="1" ht="18.75" hidden="1">
      <c r="A958" s="12" t="s">
        <v>2869</v>
      </c>
      <c r="B958" s="9">
        <v>45693</v>
      </c>
      <c r="C958" s="12" t="s">
        <v>3</v>
      </c>
      <c r="D958" s="12" t="s">
        <v>2870</v>
      </c>
      <c r="E958" s="12" t="s">
        <v>3</v>
      </c>
      <c r="F958" s="12" t="s">
        <v>2871</v>
      </c>
    </row>
    <row x14ac:dyDescent="0.25" r="959" customHeight="1" ht="18.75">
      <c r="A959" s="12" t="s">
        <v>2872</v>
      </c>
      <c r="B959" s="9">
        <v>45693</v>
      </c>
      <c r="C959" s="12" t="s">
        <v>101</v>
      </c>
      <c r="D959" s="12" t="s">
        <v>2873</v>
      </c>
      <c r="E959" s="12" t="s">
        <v>13</v>
      </c>
      <c r="F959" s="12" t="s">
        <v>2874</v>
      </c>
    </row>
    <row x14ac:dyDescent="0.25" r="960" customHeight="1" ht="18.75" hidden="1">
      <c r="A960" s="12" t="s">
        <v>2875</v>
      </c>
      <c r="B960" s="9">
        <v>45693</v>
      </c>
      <c r="C960" s="12" t="s">
        <v>3</v>
      </c>
      <c r="D960" s="12" t="s">
        <v>2876</v>
      </c>
      <c r="E960" s="12" t="s">
        <v>3</v>
      </c>
      <c r="F960" s="12" t="s">
        <v>2877</v>
      </c>
    </row>
    <row x14ac:dyDescent="0.25" r="961" customHeight="1" ht="18.75" hidden="1">
      <c r="A961" s="12" t="s">
        <v>2878</v>
      </c>
      <c r="B961" s="9">
        <v>45693</v>
      </c>
      <c r="C961" s="12" t="s">
        <v>3</v>
      </c>
      <c r="D961" s="12" t="s">
        <v>2879</v>
      </c>
      <c r="E961" s="12" t="s">
        <v>3</v>
      </c>
      <c r="F961" s="12" t="s">
        <v>2880</v>
      </c>
    </row>
    <row x14ac:dyDescent="0.25" r="962" customHeight="1" ht="18.75">
      <c r="A962" s="12" t="s">
        <v>2881</v>
      </c>
      <c r="B962" s="9">
        <v>45693</v>
      </c>
      <c r="C962" s="12" t="s">
        <v>13</v>
      </c>
      <c r="D962" s="12" t="s">
        <v>2882</v>
      </c>
      <c r="E962" s="12" t="s">
        <v>13</v>
      </c>
      <c r="F962" s="12" t="s">
        <v>2883</v>
      </c>
    </row>
    <row x14ac:dyDescent="0.25" r="963" customHeight="1" ht="18.75" hidden="1">
      <c r="A963" s="12" t="s">
        <v>2884</v>
      </c>
      <c r="B963" s="9">
        <v>45693</v>
      </c>
      <c r="C963" s="12" t="s">
        <v>3</v>
      </c>
      <c r="D963" s="12" t="s">
        <v>2885</v>
      </c>
      <c r="E963" s="12" t="s">
        <v>3</v>
      </c>
      <c r="F963" s="12" t="s">
        <v>2886</v>
      </c>
    </row>
    <row x14ac:dyDescent="0.25" r="964" customHeight="1" ht="18.75" hidden="1">
      <c r="A964" s="12" t="s">
        <v>2887</v>
      </c>
      <c r="B964" s="9">
        <v>45693</v>
      </c>
      <c r="C964" s="12" t="s">
        <v>3</v>
      </c>
      <c r="D964" s="12" t="s">
        <v>2888</v>
      </c>
      <c r="E964" s="12" t="s">
        <v>3</v>
      </c>
      <c r="F964" s="12" t="s">
        <v>2889</v>
      </c>
    </row>
    <row x14ac:dyDescent="0.25" r="965" customHeight="1" ht="18.75" hidden="1">
      <c r="A965" s="12" t="s">
        <v>2890</v>
      </c>
      <c r="B965" s="9">
        <v>45693</v>
      </c>
      <c r="C965" s="12" t="s">
        <v>3</v>
      </c>
      <c r="D965" s="12" t="s">
        <v>2891</v>
      </c>
      <c r="E965" s="12" t="s">
        <v>3</v>
      </c>
      <c r="F965" s="12" t="s">
        <v>2892</v>
      </c>
    </row>
    <row x14ac:dyDescent="0.25" r="966" customHeight="1" ht="18.75" hidden="1">
      <c r="A966" s="12" t="s">
        <v>2893</v>
      </c>
      <c r="B966" s="9">
        <v>45693</v>
      </c>
      <c r="C966" s="12" t="s">
        <v>3</v>
      </c>
      <c r="D966" s="12" t="s">
        <v>2894</v>
      </c>
      <c r="E966" s="12" t="s">
        <v>3</v>
      </c>
      <c r="F966" s="12" t="s">
        <v>2895</v>
      </c>
    </row>
    <row x14ac:dyDescent="0.25" r="967" customHeight="1" ht="18.75" hidden="1">
      <c r="A967" s="12" t="s">
        <v>2896</v>
      </c>
      <c r="B967" s="9">
        <v>45692</v>
      </c>
      <c r="C967" s="12" t="s">
        <v>3</v>
      </c>
      <c r="D967" s="12" t="s">
        <v>2897</v>
      </c>
      <c r="E967" s="12" t="s">
        <v>3</v>
      </c>
      <c r="F967" s="12" t="s">
        <v>2898</v>
      </c>
    </row>
    <row x14ac:dyDescent="0.25" r="968" customHeight="1" ht="18.75" hidden="1">
      <c r="A968" s="12" t="s">
        <v>2899</v>
      </c>
      <c r="B968" s="9">
        <v>45692</v>
      </c>
      <c r="C968" s="12" t="s">
        <v>2</v>
      </c>
      <c r="D968" s="12" t="s">
        <v>2900</v>
      </c>
      <c r="E968" s="12" t="s">
        <v>2</v>
      </c>
      <c r="F968" s="12" t="s">
        <v>2901</v>
      </c>
    </row>
    <row x14ac:dyDescent="0.25" r="969" customHeight="1" ht="18.75" hidden="1">
      <c r="A969" s="12" t="s">
        <v>2902</v>
      </c>
      <c r="B969" s="9">
        <v>45692</v>
      </c>
      <c r="C969" s="12" t="s">
        <v>3</v>
      </c>
      <c r="D969" s="12" t="s">
        <v>2903</v>
      </c>
      <c r="E969" s="12" t="s">
        <v>3</v>
      </c>
      <c r="F969" s="12" t="s">
        <v>2904</v>
      </c>
    </row>
    <row x14ac:dyDescent="0.25" r="970" customHeight="1" ht="18.75" hidden="1">
      <c r="A970" s="12" t="s">
        <v>2905</v>
      </c>
      <c r="B970" s="9">
        <v>45692</v>
      </c>
      <c r="C970" s="12" t="s">
        <v>3</v>
      </c>
      <c r="D970" s="12" t="s">
        <v>2906</v>
      </c>
      <c r="E970" s="12" t="s">
        <v>3</v>
      </c>
      <c r="F970" s="12" t="s">
        <v>2907</v>
      </c>
    </row>
    <row x14ac:dyDescent="0.25" r="971" customHeight="1" ht="18.75">
      <c r="A971" s="12" t="s">
        <v>2908</v>
      </c>
      <c r="B971" s="9">
        <v>45692</v>
      </c>
      <c r="C971" s="12" t="s">
        <v>13</v>
      </c>
      <c r="D971" s="12" t="s">
        <v>2909</v>
      </c>
      <c r="E971" s="12" t="s">
        <v>13</v>
      </c>
      <c r="F971" s="12" t="s">
        <v>2910</v>
      </c>
    </row>
    <row x14ac:dyDescent="0.25" r="972" customHeight="1" ht="18.75" hidden="1">
      <c r="A972" s="12" t="s">
        <v>2911</v>
      </c>
      <c r="B972" s="9">
        <v>45692</v>
      </c>
      <c r="C972" s="12" t="s">
        <v>2</v>
      </c>
      <c r="D972" s="12" t="s">
        <v>2912</v>
      </c>
      <c r="E972" s="12" t="s">
        <v>2</v>
      </c>
      <c r="F972" s="12" t="s">
        <v>2913</v>
      </c>
    </row>
    <row x14ac:dyDescent="0.25" r="973" customHeight="1" ht="18.75" hidden="1">
      <c r="A973" s="12" t="s">
        <v>2914</v>
      </c>
      <c r="B973" s="9">
        <v>45692</v>
      </c>
      <c r="C973" s="12" t="s">
        <v>2</v>
      </c>
      <c r="D973" s="12" t="s">
        <v>2915</v>
      </c>
      <c r="E973" s="12" t="s">
        <v>2</v>
      </c>
      <c r="F973" s="12" t="s">
        <v>2916</v>
      </c>
    </row>
    <row x14ac:dyDescent="0.25" r="974" customHeight="1" ht="18.75" hidden="1">
      <c r="A974" s="12" t="s">
        <v>2917</v>
      </c>
      <c r="B974" s="9">
        <v>45692</v>
      </c>
      <c r="C974" s="12" t="s">
        <v>2</v>
      </c>
      <c r="D974" s="12" t="s">
        <v>2918</v>
      </c>
      <c r="E974" s="12" t="s">
        <v>2</v>
      </c>
      <c r="F974" s="12" t="s">
        <v>2919</v>
      </c>
    </row>
    <row x14ac:dyDescent="0.25" r="975" customHeight="1" ht="18.75" hidden="1">
      <c r="A975" s="12" t="s">
        <v>2920</v>
      </c>
      <c r="B975" s="9">
        <v>45691</v>
      </c>
      <c r="C975" s="12" t="s">
        <v>2</v>
      </c>
      <c r="D975" s="12" t="s">
        <v>2921</v>
      </c>
      <c r="E975" s="12" t="s">
        <v>2</v>
      </c>
      <c r="F975" s="12" t="s">
        <v>2922</v>
      </c>
    </row>
    <row x14ac:dyDescent="0.25" r="976" customHeight="1" ht="18.75" hidden="1">
      <c r="A976" s="12" t="s">
        <v>2923</v>
      </c>
      <c r="B976" s="9">
        <v>45691</v>
      </c>
      <c r="C976" s="12" t="s">
        <v>2</v>
      </c>
      <c r="D976" s="12" t="s">
        <v>2924</v>
      </c>
      <c r="E976" s="12" t="s">
        <v>2</v>
      </c>
      <c r="F976" s="12" t="s">
        <v>2925</v>
      </c>
    </row>
    <row x14ac:dyDescent="0.25" r="977" customHeight="1" ht="18.75" hidden="1">
      <c r="A977" s="12" t="s">
        <v>2926</v>
      </c>
      <c r="B977" s="9">
        <v>45691</v>
      </c>
      <c r="C977" s="12" t="s">
        <v>2</v>
      </c>
      <c r="D977" s="12" t="s">
        <v>2927</v>
      </c>
      <c r="E977" s="12" t="s">
        <v>3</v>
      </c>
      <c r="F977" s="12" t="s">
        <v>2928</v>
      </c>
    </row>
    <row x14ac:dyDescent="0.25" r="978" customHeight="1" ht="18.75" hidden="1">
      <c r="A978" s="12" t="s">
        <v>2929</v>
      </c>
      <c r="B978" s="9">
        <v>45691</v>
      </c>
      <c r="C978" s="12" t="s">
        <v>2</v>
      </c>
      <c r="D978" s="12" t="s">
        <v>2930</v>
      </c>
      <c r="E978" s="12" t="s">
        <v>2</v>
      </c>
      <c r="F978" s="12" t="s">
        <v>2931</v>
      </c>
    </row>
    <row x14ac:dyDescent="0.25" r="979" customHeight="1" ht="18.75" hidden="1">
      <c r="A979" s="12" t="s">
        <v>2932</v>
      </c>
      <c r="B979" s="9">
        <v>45689</v>
      </c>
      <c r="C979" s="12" t="s">
        <v>3</v>
      </c>
      <c r="D979" s="12" t="s">
        <v>2933</v>
      </c>
      <c r="E979" s="12" t="s">
        <v>3</v>
      </c>
      <c r="F979" s="12" t="s">
        <v>2934</v>
      </c>
    </row>
    <row x14ac:dyDescent="0.25" r="980" customHeight="1" ht="18.75" hidden="1">
      <c r="A980" s="12" t="s">
        <v>2935</v>
      </c>
      <c r="B980" s="9">
        <v>45688</v>
      </c>
      <c r="C980" s="12" t="s">
        <v>2</v>
      </c>
      <c r="D980" s="12" t="s">
        <v>2936</v>
      </c>
      <c r="E980" s="12" t="s">
        <v>2</v>
      </c>
      <c r="F980" s="12" t="s">
        <v>2937</v>
      </c>
    </row>
    <row x14ac:dyDescent="0.25" r="981" customHeight="1" ht="18.75" hidden="1">
      <c r="A981" s="12" t="s">
        <v>2938</v>
      </c>
      <c r="B981" s="9">
        <v>45688</v>
      </c>
      <c r="C981" s="12" t="s">
        <v>3</v>
      </c>
      <c r="D981" s="12" t="s">
        <v>2939</v>
      </c>
      <c r="E981" s="12" t="s">
        <v>3</v>
      </c>
      <c r="F981" s="12" t="s">
        <v>2940</v>
      </c>
    </row>
    <row x14ac:dyDescent="0.25" r="982" customHeight="1" ht="18.75" hidden="1">
      <c r="A982" s="12" t="s">
        <v>2941</v>
      </c>
      <c r="B982" s="9">
        <v>45688</v>
      </c>
      <c r="C982" s="12" t="s">
        <v>2</v>
      </c>
      <c r="D982" s="12" t="s">
        <v>2942</v>
      </c>
      <c r="E982" s="12" t="s">
        <v>2</v>
      </c>
      <c r="F982" s="12" t="s">
        <v>2943</v>
      </c>
    </row>
    <row x14ac:dyDescent="0.25" r="983" customHeight="1" ht="18.75" hidden="1">
      <c r="A983" s="12" t="s">
        <v>2944</v>
      </c>
      <c r="B983" s="9">
        <v>45688</v>
      </c>
      <c r="C983" s="12" t="s">
        <v>2</v>
      </c>
      <c r="D983" s="12" t="s">
        <v>2945</v>
      </c>
      <c r="E983" s="12" t="s">
        <v>2</v>
      </c>
      <c r="F983" s="12" t="s">
        <v>2946</v>
      </c>
    </row>
    <row x14ac:dyDescent="0.25" r="984" customHeight="1" ht="18.75" hidden="1">
      <c r="A984" s="12" t="s">
        <v>2947</v>
      </c>
      <c r="B984" s="9">
        <v>45688</v>
      </c>
      <c r="C984" s="12" t="s">
        <v>2</v>
      </c>
      <c r="D984" s="12" t="s">
        <v>2948</v>
      </c>
      <c r="E984" s="12" t="s">
        <v>2</v>
      </c>
      <c r="F984" s="12" t="s">
        <v>2949</v>
      </c>
    </row>
    <row x14ac:dyDescent="0.25" r="985" customHeight="1" ht="18.75">
      <c r="A985" s="12" t="s">
        <v>2950</v>
      </c>
      <c r="B985" s="9">
        <v>45687</v>
      </c>
      <c r="C985" s="12" t="s">
        <v>101</v>
      </c>
      <c r="D985" s="12" t="s">
        <v>2951</v>
      </c>
      <c r="E985" s="12" t="s">
        <v>4</v>
      </c>
      <c r="F985" s="12" t="s">
        <v>2952</v>
      </c>
    </row>
    <row x14ac:dyDescent="0.25" r="986" customHeight="1" ht="18.75" hidden="1">
      <c r="A986" s="12" t="s">
        <v>2953</v>
      </c>
      <c r="B986" s="9">
        <v>45686</v>
      </c>
      <c r="C986" s="12" t="s">
        <v>3</v>
      </c>
      <c r="D986" s="12" t="s">
        <v>2954</v>
      </c>
      <c r="E986" s="12" t="s">
        <v>3</v>
      </c>
      <c r="F986" s="12" t="s">
        <v>2955</v>
      </c>
    </row>
    <row x14ac:dyDescent="0.25" r="987" customHeight="1" ht="18.75" hidden="1">
      <c r="A987" s="12" t="s">
        <v>2956</v>
      </c>
      <c r="B987" s="9">
        <v>45686</v>
      </c>
      <c r="C987" s="12" t="s">
        <v>3</v>
      </c>
      <c r="D987" s="12" t="s">
        <v>2957</v>
      </c>
      <c r="E987" s="12" t="s">
        <v>3</v>
      </c>
      <c r="F987" s="12" t="s">
        <v>2958</v>
      </c>
    </row>
    <row x14ac:dyDescent="0.25" r="988" customHeight="1" ht="18.75" hidden="1">
      <c r="A988" s="12" t="s">
        <v>2959</v>
      </c>
      <c r="B988" s="9">
        <v>45686</v>
      </c>
      <c r="C988" s="12" t="s">
        <v>3</v>
      </c>
      <c r="D988" s="12" t="s">
        <v>2960</v>
      </c>
      <c r="E988" s="12" t="s">
        <v>3</v>
      </c>
      <c r="F988" s="12" t="s">
        <v>2961</v>
      </c>
    </row>
    <row x14ac:dyDescent="0.25" r="989" customHeight="1" ht="18.75" hidden="1">
      <c r="A989" s="12" t="s">
        <v>2962</v>
      </c>
      <c r="B989" s="9">
        <v>45686</v>
      </c>
      <c r="C989" s="12" t="s">
        <v>3</v>
      </c>
      <c r="D989" s="12" t="s">
        <v>2963</v>
      </c>
      <c r="E989" s="12" t="s">
        <v>3</v>
      </c>
      <c r="F989" s="12" t="s">
        <v>2964</v>
      </c>
    </row>
    <row x14ac:dyDescent="0.25" r="990" customHeight="1" ht="18.75" hidden="1">
      <c r="A990" s="12" t="s">
        <v>2965</v>
      </c>
      <c r="B990" s="9">
        <v>45686</v>
      </c>
      <c r="C990" s="12" t="s">
        <v>2</v>
      </c>
      <c r="D990" s="12" t="s">
        <v>2966</v>
      </c>
      <c r="E990" s="12" t="s">
        <v>2</v>
      </c>
      <c r="F990" s="12" t="s">
        <v>2967</v>
      </c>
    </row>
    <row x14ac:dyDescent="0.25" r="991" customHeight="1" ht="18.75" hidden="1">
      <c r="A991" s="12" t="s">
        <v>2968</v>
      </c>
      <c r="B991" s="9">
        <v>45686</v>
      </c>
      <c r="C991" s="12" t="s">
        <v>3</v>
      </c>
      <c r="D991" s="12" t="s">
        <v>2969</v>
      </c>
      <c r="E991" s="12" t="s">
        <v>3</v>
      </c>
      <c r="F991" s="12" t="s">
        <v>2970</v>
      </c>
    </row>
    <row x14ac:dyDescent="0.25" r="992" customHeight="1" ht="18.75" hidden="1">
      <c r="A992" s="12" t="s">
        <v>2971</v>
      </c>
      <c r="B992" s="9">
        <v>45685</v>
      </c>
      <c r="C992" s="12" t="s">
        <v>2</v>
      </c>
      <c r="D992" s="12" t="s">
        <v>2972</v>
      </c>
      <c r="E992" s="12" t="s">
        <v>2</v>
      </c>
      <c r="F992" s="12" t="s">
        <v>2973</v>
      </c>
    </row>
    <row x14ac:dyDescent="0.25" r="993" customHeight="1" ht="18.75">
      <c r="A993" s="12" t="s">
        <v>2974</v>
      </c>
      <c r="B993" s="9">
        <v>45685</v>
      </c>
      <c r="C993" s="12" t="s">
        <v>101</v>
      </c>
      <c r="D993" s="12" t="s">
        <v>2975</v>
      </c>
      <c r="E993" s="12" t="s">
        <v>13</v>
      </c>
      <c r="F993" s="12" t="s">
        <v>2976</v>
      </c>
    </row>
    <row x14ac:dyDescent="0.25" r="994" customHeight="1" ht="18.75" hidden="1">
      <c r="A994" s="12" t="s">
        <v>2977</v>
      </c>
      <c r="B994" s="9">
        <v>45684</v>
      </c>
      <c r="C994" s="12" t="s">
        <v>3</v>
      </c>
      <c r="D994" s="12" t="s">
        <v>2978</v>
      </c>
      <c r="E994" s="12" t="s">
        <v>3</v>
      </c>
      <c r="F994" s="12" t="s">
        <v>2979</v>
      </c>
    </row>
    <row x14ac:dyDescent="0.25" r="995" customHeight="1" ht="18.75" hidden="1">
      <c r="A995" s="12" t="s">
        <v>2980</v>
      </c>
      <c r="B995" s="9">
        <v>45684</v>
      </c>
      <c r="C995" s="12" t="s">
        <v>3</v>
      </c>
      <c r="D995" s="12" t="s">
        <v>2981</v>
      </c>
      <c r="E995" s="12" t="s">
        <v>3</v>
      </c>
      <c r="F995" s="12" t="s">
        <v>2982</v>
      </c>
    </row>
    <row x14ac:dyDescent="0.25" r="996" customHeight="1" ht="18.75" hidden="1">
      <c r="A996" s="12" t="s">
        <v>2983</v>
      </c>
      <c r="B996" s="9">
        <v>45683</v>
      </c>
      <c r="C996" s="12" t="s">
        <v>2</v>
      </c>
      <c r="D996" s="12" t="s">
        <v>2984</v>
      </c>
      <c r="E996" s="12" t="s">
        <v>2</v>
      </c>
      <c r="F996" s="12" t="s">
        <v>2985</v>
      </c>
    </row>
    <row x14ac:dyDescent="0.25" r="997" customHeight="1" ht="18.75" hidden="1">
      <c r="A997" s="12" t="s">
        <v>2986</v>
      </c>
      <c r="B997" s="9">
        <v>45683</v>
      </c>
      <c r="C997" s="12" t="s">
        <v>2</v>
      </c>
      <c r="D997" s="12" t="s">
        <v>2987</v>
      </c>
      <c r="E997" s="12" t="s">
        <v>2</v>
      </c>
      <c r="F997" s="12" t="s">
        <v>2988</v>
      </c>
    </row>
    <row x14ac:dyDescent="0.25" r="998" customHeight="1" ht="18.75" hidden="1">
      <c r="A998" s="12" t="s">
        <v>2989</v>
      </c>
      <c r="B998" s="9">
        <v>45682</v>
      </c>
      <c r="C998" s="12" t="s">
        <v>3</v>
      </c>
      <c r="D998" s="12" t="s">
        <v>2990</v>
      </c>
      <c r="E998" s="12" t="s">
        <v>3</v>
      </c>
      <c r="F998" s="12" t="s">
        <v>2991</v>
      </c>
    </row>
    <row x14ac:dyDescent="0.25" r="999" customHeight="1" ht="18.75" hidden="1">
      <c r="A999" s="12" t="s">
        <v>2992</v>
      </c>
      <c r="B999" s="9">
        <v>45681</v>
      </c>
      <c r="C999" s="12" t="s">
        <v>2</v>
      </c>
      <c r="D999" s="12" t="s">
        <v>2993</v>
      </c>
      <c r="E999" s="12" t="s">
        <v>2</v>
      </c>
      <c r="F999" s="12" t="s">
        <v>2994</v>
      </c>
    </row>
    <row x14ac:dyDescent="0.25" r="1000" customHeight="1" ht="18.75" hidden="1">
      <c r="A1000" s="12" t="s">
        <v>2995</v>
      </c>
      <c r="B1000" s="9">
        <v>45681</v>
      </c>
      <c r="C1000" s="12" t="s">
        <v>2</v>
      </c>
      <c r="D1000" s="12" t="s">
        <v>2996</v>
      </c>
      <c r="E1000" s="12" t="s">
        <v>3</v>
      </c>
      <c r="F1000" s="12" t="s">
        <v>2997</v>
      </c>
    </row>
    <row x14ac:dyDescent="0.25" r="1001" customHeight="1" ht="18.75">
      <c r="A1001" s="12" t="s">
        <v>2998</v>
      </c>
      <c r="B1001" s="9">
        <v>45681</v>
      </c>
      <c r="C1001" s="12" t="s">
        <v>13</v>
      </c>
      <c r="D1001" s="12" t="s">
        <v>2999</v>
      </c>
      <c r="E1001" s="12" t="s">
        <v>13</v>
      </c>
      <c r="F1001" s="12" t="s">
        <v>3000</v>
      </c>
    </row>
    <row x14ac:dyDescent="0.25" r="1002" customHeight="1" ht="18.75" hidden="1">
      <c r="A1002" s="12" t="s">
        <v>3001</v>
      </c>
      <c r="B1002" s="9">
        <v>45681</v>
      </c>
      <c r="C1002" s="12" t="s">
        <v>2</v>
      </c>
      <c r="D1002" s="12" t="s">
        <v>3002</v>
      </c>
      <c r="E1002" s="12" t="s">
        <v>2</v>
      </c>
      <c r="F1002" s="12" t="s">
        <v>3003</v>
      </c>
    </row>
    <row x14ac:dyDescent="0.25" r="1003" customHeight="1" ht="18.75" hidden="1">
      <c r="A1003" s="12" t="s">
        <v>3004</v>
      </c>
      <c r="B1003" s="9">
        <v>45681</v>
      </c>
      <c r="C1003" s="12" t="s">
        <v>2</v>
      </c>
      <c r="D1003" s="12" t="s">
        <v>3005</v>
      </c>
      <c r="E1003" s="12" t="s">
        <v>2</v>
      </c>
      <c r="F1003" s="12" t="s">
        <v>3006</v>
      </c>
    </row>
    <row x14ac:dyDescent="0.25" r="1004" customHeight="1" ht="18.75" hidden="1">
      <c r="A1004" s="12" t="s">
        <v>3007</v>
      </c>
      <c r="B1004" s="9">
        <v>45681</v>
      </c>
      <c r="C1004" s="12" t="s">
        <v>3</v>
      </c>
      <c r="D1004" s="12" t="s">
        <v>3008</v>
      </c>
      <c r="E1004" s="12" t="s">
        <v>3</v>
      </c>
      <c r="F1004" s="12" t="s">
        <v>3009</v>
      </c>
    </row>
    <row x14ac:dyDescent="0.25" r="1005" customHeight="1" ht="18.75" hidden="1">
      <c r="A1005" s="12" t="s">
        <v>3010</v>
      </c>
      <c r="B1005" s="9">
        <v>45680</v>
      </c>
      <c r="C1005" s="12" t="s">
        <v>2</v>
      </c>
      <c r="D1005" s="12" t="s">
        <v>3011</v>
      </c>
      <c r="E1005" s="12" t="s">
        <v>2</v>
      </c>
      <c r="F1005" s="12" t="s">
        <v>3012</v>
      </c>
    </row>
    <row x14ac:dyDescent="0.25" r="1006" customHeight="1" ht="18.75" hidden="1">
      <c r="A1006" s="12" t="s">
        <v>3013</v>
      </c>
      <c r="B1006" s="9">
        <v>45680</v>
      </c>
      <c r="C1006" s="12" t="s">
        <v>3</v>
      </c>
      <c r="D1006" s="12" t="s">
        <v>3014</v>
      </c>
      <c r="E1006" s="12" t="s">
        <v>3</v>
      </c>
      <c r="F1006" s="12" t="s">
        <v>3015</v>
      </c>
    </row>
    <row x14ac:dyDescent="0.25" r="1007" customHeight="1" ht="18.75" hidden="1">
      <c r="A1007" s="12" t="s">
        <v>3016</v>
      </c>
      <c r="B1007" s="9">
        <v>45680</v>
      </c>
      <c r="C1007" s="12" t="s">
        <v>3</v>
      </c>
      <c r="D1007" s="12" t="s">
        <v>3017</v>
      </c>
      <c r="E1007" s="12" t="s">
        <v>3</v>
      </c>
      <c r="F1007" s="12" t="s">
        <v>3018</v>
      </c>
    </row>
    <row x14ac:dyDescent="0.25" r="1008" customHeight="1" ht="18.75" hidden="1">
      <c r="A1008" s="12" t="s">
        <v>3019</v>
      </c>
      <c r="B1008" s="9">
        <v>45680</v>
      </c>
      <c r="C1008" s="12" t="s">
        <v>3</v>
      </c>
      <c r="D1008" s="12" t="s">
        <v>3020</v>
      </c>
      <c r="E1008" s="12" t="s">
        <v>3</v>
      </c>
      <c r="F1008" s="12" t="s">
        <v>3021</v>
      </c>
    </row>
    <row x14ac:dyDescent="0.25" r="1009" customHeight="1" ht="18.75" hidden="1">
      <c r="A1009" s="12" t="s">
        <v>3022</v>
      </c>
      <c r="B1009" s="9">
        <v>45680</v>
      </c>
      <c r="C1009" s="12" t="s">
        <v>2</v>
      </c>
      <c r="D1009" s="12" t="s">
        <v>3023</v>
      </c>
      <c r="E1009" s="12" t="s">
        <v>2</v>
      </c>
      <c r="F1009" s="12" t="s">
        <v>3024</v>
      </c>
    </row>
    <row x14ac:dyDescent="0.25" r="1010" customHeight="1" ht="18.75">
      <c r="A1010" s="12" t="s">
        <v>3025</v>
      </c>
      <c r="B1010" s="9">
        <v>45679</v>
      </c>
      <c r="C1010" s="12" t="s">
        <v>13</v>
      </c>
      <c r="D1010" s="12" t="s">
        <v>3026</v>
      </c>
      <c r="E1010" s="12" t="s">
        <v>13</v>
      </c>
      <c r="F1010" s="12" t="s">
        <v>3027</v>
      </c>
    </row>
    <row x14ac:dyDescent="0.25" r="1011" customHeight="1" ht="18.75" hidden="1">
      <c r="A1011" s="12" t="s">
        <v>3028</v>
      </c>
      <c r="B1011" s="9">
        <v>45679</v>
      </c>
      <c r="C1011" s="12" t="s">
        <v>2</v>
      </c>
      <c r="D1011" s="12" t="s">
        <v>3029</v>
      </c>
      <c r="E1011" s="12" t="s">
        <v>2</v>
      </c>
      <c r="F1011" s="12" t="s">
        <v>3030</v>
      </c>
    </row>
    <row x14ac:dyDescent="0.25" r="1012" customHeight="1" ht="18.75" hidden="1">
      <c r="A1012" s="12" t="s">
        <v>3031</v>
      </c>
      <c r="B1012" s="9">
        <v>45679</v>
      </c>
      <c r="C1012" s="12" t="s">
        <v>3</v>
      </c>
      <c r="D1012" s="12" t="s">
        <v>3032</v>
      </c>
      <c r="E1012" s="12" t="s">
        <v>3</v>
      </c>
      <c r="F1012" s="12" t="s">
        <v>3033</v>
      </c>
    </row>
    <row x14ac:dyDescent="0.25" r="1013" customHeight="1" ht="18.75" hidden="1">
      <c r="A1013" s="12" t="s">
        <v>3034</v>
      </c>
      <c r="B1013" s="9">
        <v>45678</v>
      </c>
      <c r="C1013" s="12" t="s">
        <v>3</v>
      </c>
      <c r="D1013" s="12" t="s">
        <v>3035</v>
      </c>
      <c r="E1013" s="12" t="s">
        <v>3</v>
      </c>
      <c r="F1013" s="12" t="s">
        <v>3036</v>
      </c>
    </row>
    <row x14ac:dyDescent="0.25" r="1014" customHeight="1" ht="18.75" hidden="1">
      <c r="A1014" s="12" t="s">
        <v>3037</v>
      </c>
      <c r="B1014" s="9">
        <v>45678</v>
      </c>
      <c r="C1014" s="12" t="s">
        <v>3</v>
      </c>
      <c r="D1014" s="12" t="s">
        <v>3038</v>
      </c>
      <c r="E1014" s="12" t="s">
        <v>3</v>
      </c>
      <c r="F1014" s="12" t="s">
        <v>3039</v>
      </c>
    </row>
    <row x14ac:dyDescent="0.25" r="1015" customHeight="1" ht="18.75" hidden="1">
      <c r="A1015" s="12" t="s">
        <v>3040</v>
      </c>
      <c r="B1015" s="9">
        <v>45678</v>
      </c>
      <c r="C1015" s="12" t="s">
        <v>3</v>
      </c>
      <c r="D1015" s="12" t="s">
        <v>3041</v>
      </c>
      <c r="E1015" s="12" t="s">
        <v>3</v>
      </c>
      <c r="F1015" s="12" t="s">
        <v>3042</v>
      </c>
    </row>
    <row x14ac:dyDescent="0.25" r="1016" customHeight="1" ht="18.75" hidden="1">
      <c r="A1016" s="12" t="s">
        <v>3043</v>
      </c>
      <c r="B1016" s="9">
        <v>45677</v>
      </c>
      <c r="C1016" s="12" t="s">
        <v>2</v>
      </c>
      <c r="D1016" s="12" t="s">
        <v>3044</v>
      </c>
      <c r="E1016" s="12" t="s">
        <v>2</v>
      </c>
      <c r="F1016" s="12" t="s">
        <v>3045</v>
      </c>
    </row>
    <row x14ac:dyDescent="0.25" r="1017" customHeight="1" ht="18.75" hidden="1">
      <c r="A1017" s="12" t="s">
        <v>3046</v>
      </c>
      <c r="B1017" s="9">
        <v>45677</v>
      </c>
      <c r="C1017" s="12" t="s">
        <v>2</v>
      </c>
      <c r="D1017" s="12" t="s">
        <v>3047</v>
      </c>
      <c r="E1017" s="12" t="s">
        <v>2</v>
      </c>
      <c r="F1017" s="12" t="s">
        <v>3048</v>
      </c>
    </row>
    <row x14ac:dyDescent="0.25" r="1018" customHeight="1" ht="18.75" hidden="1">
      <c r="A1018" s="12" t="s">
        <v>3049</v>
      </c>
      <c r="B1018" s="9">
        <v>45677</v>
      </c>
      <c r="C1018" s="12" t="s">
        <v>3</v>
      </c>
      <c r="D1018" s="12" t="s">
        <v>3050</v>
      </c>
      <c r="E1018" s="12" t="s">
        <v>3</v>
      </c>
      <c r="F1018" s="12" t="s">
        <v>3051</v>
      </c>
    </row>
    <row x14ac:dyDescent="0.25" r="1019" customHeight="1" ht="18.75" hidden="1">
      <c r="A1019" s="12" t="s">
        <v>3052</v>
      </c>
      <c r="B1019" s="9">
        <v>45677</v>
      </c>
      <c r="C1019" s="12" t="s">
        <v>2</v>
      </c>
      <c r="D1019" s="12" t="s">
        <v>3053</v>
      </c>
      <c r="E1019" s="12" t="s">
        <v>2</v>
      </c>
      <c r="F1019" s="12" t="s">
        <v>3054</v>
      </c>
    </row>
    <row x14ac:dyDescent="0.25" r="1020" customHeight="1" ht="18.75" hidden="1">
      <c r="A1020" s="12" t="s">
        <v>3055</v>
      </c>
      <c r="B1020" s="9">
        <v>45676</v>
      </c>
      <c r="C1020" s="12" t="s">
        <v>13</v>
      </c>
      <c r="D1020" s="12" t="s">
        <v>3056</v>
      </c>
      <c r="E1020" s="12" t="s">
        <v>3</v>
      </c>
      <c r="F1020" s="12" t="s">
        <v>3057</v>
      </c>
    </row>
    <row x14ac:dyDescent="0.25" r="1021" customHeight="1" ht="18.75" hidden="1">
      <c r="A1021" s="12" t="s">
        <v>3058</v>
      </c>
      <c r="B1021" s="9">
        <v>45674</v>
      </c>
      <c r="C1021" s="12" t="s">
        <v>2</v>
      </c>
      <c r="D1021" s="12" t="s">
        <v>3059</v>
      </c>
      <c r="E1021" s="12" t="s">
        <v>2</v>
      </c>
      <c r="F1021" s="12" t="s">
        <v>3060</v>
      </c>
    </row>
    <row x14ac:dyDescent="0.25" r="1022" customHeight="1" ht="18.75" hidden="1">
      <c r="A1022" s="12" t="s">
        <v>3061</v>
      </c>
      <c r="B1022" s="9">
        <v>45674</v>
      </c>
      <c r="C1022" s="12" t="s">
        <v>2</v>
      </c>
      <c r="D1022" s="12" t="s">
        <v>3062</v>
      </c>
      <c r="E1022" s="12" t="s">
        <v>2</v>
      </c>
      <c r="F1022" s="12" t="s">
        <v>3063</v>
      </c>
    </row>
    <row x14ac:dyDescent="0.25" r="1023" customHeight="1" ht="18.75" hidden="1">
      <c r="A1023" s="12" t="s">
        <v>3064</v>
      </c>
      <c r="B1023" s="9">
        <v>45673</v>
      </c>
      <c r="C1023" s="12" t="s">
        <v>3</v>
      </c>
      <c r="D1023" s="12" t="s">
        <v>3065</v>
      </c>
      <c r="E1023" s="12" t="s">
        <v>3</v>
      </c>
      <c r="F1023" s="12" t="s">
        <v>3066</v>
      </c>
    </row>
    <row x14ac:dyDescent="0.25" r="1024" customHeight="1" ht="18.75">
      <c r="A1024" s="12" t="s">
        <v>3067</v>
      </c>
      <c r="B1024" s="9">
        <v>45673</v>
      </c>
      <c r="C1024" s="12" t="s">
        <v>13</v>
      </c>
      <c r="D1024" s="12" t="s">
        <v>3068</v>
      </c>
      <c r="E1024" s="12" t="s">
        <v>13</v>
      </c>
      <c r="F1024" s="12" t="s">
        <v>3069</v>
      </c>
    </row>
    <row x14ac:dyDescent="0.25" r="1025" customHeight="1" ht="18.75" hidden="1">
      <c r="A1025" s="12" t="s">
        <v>3070</v>
      </c>
      <c r="B1025" s="9">
        <v>45673</v>
      </c>
      <c r="C1025" s="12" t="s">
        <v>2</v>
      </c>
      <c r="D1025" s="12" t="s">
        <v>3071</v>
      </c>
      <c r="E1025" s="12" t="s">
        <v>2</v>
      </c>
      <c r="F1025" s="12" t="s">
        <v>3072</v>
      </c>
    </row>
    <row x14ac:dyDescent="0.25" r="1026" customHeight="1" ht="18.75">
      <c r="A1026" s="12" t="s">
        <v>3073</v>
      </c>
      <c r="B1026" s="9">
        <v>45673</v>
      </c>
      <c r="C1026" s="12" t="s">
        <v>13</v>
      </c>
      <c r="D1026" s="12" t="s">
        <v>3074</v>
      </c>
      <c r="E1026" s="12" t="s">
        <v>13</v>
      </c>
      <c r="F1026" s="12" t="s">
        <v>3075</v>
      </c>
    </row>
    <row x14ac:dyDescent="0.25" r="1027" customHeight="1" ht="18.75" hidden="1">
      <c r="A1027" s="12" t="s">
        <v>3076</v>
      </c>
      <c r="B1027" s="9">
        <v>45673</v>
      </c>
      <c r="C1027" s="12" t="s">
        <v>2</v>
      </c>
      <c r="D1027" s="12" t="s">
        <v>3077</v>
      </c>
      <c r="E1027" s="12" t="s">
        <v>2</v>
      </c>
      <c r="F1027" s="12" t="s">
        <v>3078</v>
      </c>
    </row>
    <row x14ac:dyDescent="0.25" r="1028" customHeight="1" ht="18.75" hidden="1">
      <c r="A1028" s="12" t="s">
        <v>3079</v>
      </c>
      <c r="B1028" s="9">
        <v>45673</v>
      </c>
      <c r="C1028" s="12" t="s">
        <v>2</v>
      </c>
      <c r="D1028" s="12" t="s">
        <v>3080</v>
      </c>
      <c r="E1028" s="12" t="s">
        <v>2</v>
      </c>
      <c r="F1028" s="12" t="s">
        <v>3081</v>
      </c>
    </row>
    <row x14ac:dyDescent="0.25" r="1029" customHeight="1" ht="18.75" hidden="1">
      <c r="A1029" s="12" t="s">
        <v>3082</v>
      </c>
      <c r="B1029" s="9">
        <v>45673</v>
      </c>
      <c r="C1029" s="12" t="s">
        <v>2</v>
      </c>
      <c r="D1029" s="12" t="s">
        <v>3083</v>
      </c>
      <c r="E1029" s="12" t="s">
        <v>2</v>
      </c>
      <c r="F1029" s="12" t="s">
        <v>3084</v>
      </c>
    </row>
    <row x14ac:dyDescent="0.25" r="1030" customHeight="1" ht="18.75" hidden="1">
      <c r="A1030" s="12" t="s">
        <v>3085</v>
      </c>
      <c r="B1030" s="9">
        <v>45673</v>
      </c>
      <c r="C1030" s="12" t="s">
        <v>2</v>
      </c>
      <c r="D1030" s="12" t="s">
        <v>3086</v>
      </c>
      <c r="E1030" s="12" t="s">
        <v>2</v>
      </c>
      <c r="F1030" s="12" t="s">
        <v>3087</v>
      </c>
    </row>
    <row x14ac:dyDescent="0.25" r="1031" customHeight="1" ht="18.75" hidden="1">
      <c r="A1031" s="12" t="s">
        <v>3088</v>
      </c>
      <c r="B1031" s="9">
        <v>45672</v>
      </c>
      <c r="C1031" s="12" t="s">
        <v>3</v>
      </c>
      <c r="D1031" s="12" t="s">
        <v>3089</v>
      </c>
      <c r="E1031" s="12" t="s">
        <v>3</v>
      </c>
      <c r="F1031" s="12" t="s">
        <v>3090</v>
      </c>
    </row>
    <row x14ac:dyDescent="0.25" r="1032" customHeight="1" ht="18.75" hidden="1">
      <c r="A1032" s="12" t="s">
        <v>3091</v>
      </c>
      <c r="B1032" s="9">
        <v>45672</v>
      </c>
      <c r="C1032" s="12" t="s">
        <v>2</v>
      </c>
      <c r="D1032" s="12" t="s">
        <v>3092</v>
      </c>
      <c r="E1032" s="12" t="s">
        <v>2</v>
      </c>
      <c r="F1032" s="12" t="s">
        <v>3093</v>
      </c>
    </row>
    <row x14ac:dyDescent="0.25" r="1033" customHeight="1" ht="18.75" hidden="1">
      <c r="A1033" s="12" t="s">
        <v>3094</v>
      </c>
      <c r="B1033" s="9">
        <v>45672</v>
      </c>
      <c r="C1033" s="12" t="s">
        <v>2</v>
      </c>
      <c r="D1033" s="12" t="s">
        <v>3095</v>
      </c>
      <c r="E1033" s="12" t="s">
        <v>2</v>
      </c>
      <c r="F1033" s="12" t="s">
        <v>3096</v>
      </c>
    </row>
    <row x14ac:dyDescent="0.25" r="1034" customHeight="1" ht="18.75">
      <c r="A1034" s="12" t="s">
        <v>3097</v>
      </c>
      <c r="B1034" s="9">
        <v>45672</v>
      </c>
      <c r="C1034" s="12" t="s">
        <v>2</v>
      </c>
      <c r="D1034" s="12" t="s">
        <v>3098</v>
      </c>
      <c r="E1034" s="12" t="s">
        <v>4</v>
      </c>
      <c r="F1034" s="12" t="s">
        <v>3099</v>
      </c>
    </row>
    <row x14ac:dyDescent="0.25" r="1035" customHeight="1" ht="18.75" hidden="1">
      <c r="A1035" s="12" t="s">
        <v>3100</v>
      </c>
      <c r="B1035" s="9">
        <v>45672</v>
      </c>
      <c r="C1035" s="12" t="s">
        <v>2</v>
      </c>
      <c r="D1035" s="12" t="s">
        <v>3101</v>
      </c>
      <c r="E1035" s="12" t="s">
        <v>2</v>
      </c>
      <c r="F1035" s="12" t="s">
        <v>3102</v>
      </c>
    </row>
    <row x14ac:dyDescent="0.25" r="1036" customHeight="1" ht="18.75" hidden="1">
      <c r="A1036" s="12" t="s">
        <v>3103</v>
      </c>
      <c r="B1036" s="9">
        <v>45672</v>
      </c>
      <c r="C1036" s="12" t="s">
        <v>2</v>
      </c>
      <c r="D1036" s="12" t="s">
        <v>3104</v>
      </c>
      <c r="E1036" s="12" t="s">
        <v>3</v>
      </c>
      <c r="F1036" s="12" t="s">
        <v>3105</v>
      </c>
    </row>
    <row x14ac:dyDescent="0.25" r="1037" customHeight="1" ht="18.75" hidden="1">
      <c r="A1037" s="12" t="s">
        <v>3106</v>
      </c>
      <c r="B1037" s="9">
        <v>45672</v>
      </c>
      <c r="C1037" s="12" t="s">
        <v>3</v>
      </c>
      <c r="D1037" s="12" t="s">
        <v>3107</v>
      </c>
      <c r="E1037" s="12" t="s">
        <v>3</v>
      </c>
      <c r="F1037" s="12" t="s">
        <v>3108</v>
      </c>
    </row>
    <row x14ac:dyDescent="0.25" r="1038" customHeight="1" ht="18.75" hidden="1">
      <c r="A1038" s="12" t="s">
        <v>3109</v>
      </c>
      <c r="B1038" s="9">
        <v>45671</v>
      </c>
      <c r="C1038" s="12" t="s">
        <v>2</v>
      </c>
      <c r="D1038" s="12" t="s">
        <v>3110</v>
      </c>
      <c r="E1038" s="12" t="s">
        <v>2</v>
      </c>
      <c r="F1038" s="12" t="s">
        <v>3111</v>
      </c>
    </row>
    <row x14ac:dyDescent="0.25" r="1039" customHeight="1" ht="18.75" hidden="1">
      <c r="A1039" s="12" t="s">
        <v>3112</v>
      </c>
      <c r="B1039" s="9">
        <v>45671</v>
      </c>
      <c r="C1039" s="12" t="s">
        <v>2</v>
      </c>
      <c r="D1039" s="12" t="s">
        <v>3113</v>
      </c>
      <c r="E1039" s="12" t="s">
        <v>2</v>
      </c>
      <c r="F1039" s="12" t="s">
        <v>3114</v>
      </c>
    </row>
    <row x14ac:dyDescent="0.25" r="1040" customHeight="1" ht="18.75" hidden="1">
      <c r="A1040" s="12" t="s">
        <v>3115</v>
      </c>
      <c r="B1040" s="9">
        <v>45671</v>
      </c>
      <c r="C1040" s="12" t="s">
        <v>3</v>
      </c>
      <c r="D1040" s="12" t="s">
        <v>3116</v>
      </c>
      <c r="E1040" s="12" t="s">
        <v>3</v>
      </c>
      <c r="F1040" s="12" t="s">
        <v>3117</v>
      </c>
    </row>
    <row x14ac:dyDescent="0.25" r="1041" customHeight="1" ht="18.75" hidden="1">
      <c r="A1041" s="12" t="s">
        <v>3118</v>
      </c>
      <c r="B1041" s="9">
        <v>45671</v>
      </c>
      <c r="C1041" s="12" t="s">
        <v>2</v>
      </c>
      <c r="D1041" s="12" t="s">
        <v>3119</v>
      </c>
      <c r="E1041" s="12" t="s">
        <v>2</v>
      </c>
      <c r="F1041" s="12" t="s">
        <v>3120</v>
      </c>
    </row>
    <row x14ac:dyDescent="0.25" r="1042" customHeight="1" ht="18.75" hidden="1">
      <c r="A1042" s="12" t="s">
        <v>3121</v>
      </c>
      <c r="B1042" s="9">
        <v>45671</v>
      </c>
      <c r="C1042" s="12" t="s">
        <v>2</v>
      </c>
      <c r="D1042" s="12" t="s">
        <v>3122</v>
      </c>
      <c r="E1042" s="12" t="s">
        <v>2</v>
      </c>
      <c r="F1042" s="12" t="s">
        <v>3123</v>
      </c>
    </row>
    <row x14ac:dyDescent="0.25" r="1043" customHeight="1" ht="18.75" hidden="1">
      <c r="A1043" s="12" t="s">
        <v>3124</v>
      </c>
      <c r="B1043" s="9">
        <v>45671</v>
      </c>
      <c r="C1043" s="12" t="s">
        <v>2</v>
      </c>
      <c r="D1043" s="12" t="s">
        <v>3125</v>
      </c>
      <c r="E1043" s="12" t="s">
        <v>2</v>
      </c>
      <c r="F1043" s="12" t="s">
        <v>3126</v>
      </c>
    </row>
    <row x14ac:dyDescent="0.25" r="1044" customHeight="1" ht="18.75">
      <c r="A1044" s="12" t="s">
        <v>3127</v>
      </c>
      <c r="B1044" s="9">
        <v>45671</v>
      </c>
      <c r="C1044" s="12" t="s">
        <v>2</v>
      </c>
      <c r="D1044" s="12" t="s">
        <v>3128</v>
      </c>
      <c r="E1044" s="12" t="s">
        <v>13</v>
      </c>
      <c r="F1044" s="12" t="s">
        <v>3129</v>
      </c>
    </row>
    <row x14ac:dyDescent="0.25" r="1045" customHeight="1" ht="18.75" hidden="1">
      <c r="A1045" s="12" t="s">
        <v>3130</v>
      </c>
      <c r="B1045" s="9">
        <v>45671</v>
      </c>
      <c r="C1045" s="12" t="s">
        <v>3</v>
      </c>
      <c r="D1045" s="12" t="s">
        <v>3131</v>
      </c>
      <c r="E1045" s="12" t="s">
        <v>3</v>
      </c>
      <c r="F1045" s="12" t="s">
        <v>3132</v>
      </c>
    </row>
    <row x14ac:dyDescent="0.25" r="1046" customHeight="1" ht="18.75" hidden="1">
      <c r="A1046" s="12" t="s">
        <v>3133</v>
      </c>
      <c r="B1046" s="9">
        <v>45670</v>
      </c>
      <c r="C1046" s="12" t="s">
        <v>3</v>
      </c>
      <c r="D1046" s="12" t="s">
        <v>3134</v>
      </c>
      <c r="E1046" s="12" t="s">
        <v>3</v>
      </c>
      <c r="F1046" s="12" t="s">
        <v>3135</v>
      </c>
    </row>
    <row x14ac:dyDescent="0.25" r="1047" customHeight="1" ht="18.75" hidden="1">
      <c r="A1047" s="12" t="s">
        <v>3136</v>
      </c>
      <c r="B1047" s="9">
        <v>45670</v>
      </c>
      <c r="C1047" s="12" t="s">
        <v>2</v>
      </c>
      <c r="D1047" s="12" t="s">
        <v>3137</v>
      </c>
      <c r="E1047" s="12" t="s">
        <v>2</v>
      </c>
      <c r="F1047" s="12" t="s">
        <v>3138</v>
      </c>
    </row>
    <row x14ac:dyDescent="0.25" r="1048" customHeight="1" ht="18.75" hidden="1">
      <c r="A1048" s="12" t="s">
        <v>3139</v>
      </c>
      <c r="B1048" s="9">
        <v>45670</v>
      </c>
      <c r="C1048" s="12" t="s">
        <v>2</v>
      </c>
      <c r="D1048" s="12" t="s">
        <v>3140</v>
      </c>
      <c r="E1048" s="12" t="s">
        <v>2</v>
      </c>
      <c r="F1048" s="12" t="s">
        <v>3141</v>
      </c>
    </row>
    <row x14ac:dyDescent="0.25" r="1049" customHeight="1" ht="18.75" hidden="1">
      <c r="A1049" s="12" t="s">
        <v>3142</v>
      </c>
      <c r="B1049" s="9">
        <v>45670</v>
      </c>
      <c r="C1049" s="12" t="s">
        <v>3</v>
      </c>
      <c r="D1049" s="12" t="s">
        <v>3143</v>
      </c>
      <c r="E1049" s="12" t="s">
        <v>3</v>
      </c>
      <c r="F1049" s="12" t="s">
        <v>3144</v>
      </c>
    </row>
    <row x14ac:dyDescent="0.25" r="1050" customHeight="1" ht="18.75" hidden="1">
      <c r="A1050" s="12" t="s">
        <v>3145</v>
      </c>
      <c r="B1050" s="9">
        <v>45670</v>
      </c>
      <c r="C1050" s="12" t="s">
        <v>2</v>
      </c>
      <c r="D1050" s="12" t="s">
        <v>3146</v>
      </c>
      <c r="E1050" s="12" t="s">
        <v>2</v>
      </c>
      <c r="F1050" s="12" t="s">
        <v>3147</v>
      </c>
    </row>
    <row x14ac:dyDescent="0.25" r="1051" customHeight="1" ht="18.75" hidden="1">
      <c r="A1051" s="12" t="s">
        <v>3148</v>
      </c>
      <c r="B1051" s="9">
        <v>45670</v>
      </c>
      <c r="C1051" s="12" t="s">
        <v>2</v>
      </c>
      <c r="D1051" s="12" t="s">
        <v>3149</v>
      </c>
      <c r="E1051" s="12" t="s">
        <v>2</v>
      </c>
      <c r="F1051" s="12" t="s">
        <v>3150</v>
      </c>
    </row>
    <row x14ac:dyDescent="0.25" r="1052" customHeight="1" ht="18.75" hidden="1">
      <c r="A1052" s="12" t="s">
        <v>3151</v>
      </c>
      <c r="B1052" s="9">
        <v>45670</v>
      </c>
      <c r="C1052" s="12" t="s">
        <v>2</v>
      </c>
      <c r="D1052" s="12" t="s">
        <v>3152</v>
      </c>
      <c r="E1052" s="12" t="s">
        <v>2</v>
      </c>
      <c r="F1052" s="12" t="s">
        <v>3153</v>
      </c>
    </row>
    <row x14ac:dyDescent="0.25" r="1053" customHeight="1" ht="18.75" hidden="1">
      <c r="A1053" s="12" t="s">
        <v>3154</v>
      </c>
      <c r="B1053" s="9">
        <v>45670</v>
      </c>
      <c r="C1053" s="12" t="s">
        <v>2</v>
      </c>
      <c r="D1053" s="12" t="s">
        <v>3155</v>
      </c>
      <c r="E1053" s="12" t="s">
        <v>2</v>
      </c>
      <c r="F1053" s="12" t="s">
        <v>3156</v>
      </c>
    </row>
    <row x14ac:dyDescent="0.25" r="1054" customHeight="1" ht="18.75" hidden="1">
      <c r="A1054" s="12" t="s">
        <v>3157</v>
      </c>
      <c r="B1054" s="9">
        <v>45670</v>
      </c>
      <c r="C1054" s="12" t="s">
        <v>3</v>
      </c>
      <c r="D1054" s="12" t="s">
        <v>3158</v>
      </c>
      <c r="E1054" s="12" t="s">
        <v>3</v>
      </c>
      <c r="F1054" s="12" t="s">
        <v>3159</v>
      </c>
    </row>
    <row x14ac:dyDescent="0.25" r="1055" customHeight="1" ht="18.75" hidden="1">
      <c r="A1055" s="12" t="s">
        <v>3160</v>
      </c>
      <c r="B1055" s="9">
        <v>45670</v>
      </c>
      <c r="C1055" s="12" t="s">
        <v>2</v>
      </c>
      <c r="D1055" s="12" t="s">
        <v>3161</v>
      </c>
      <c r="E1055" s="12" t="s">
        <v>2</v>
      </c>
      <c r="F1055" s="12" t="s">
        <v>3162</v>
      </c>
    </row>
    <row x14ac:dyDescent="0.25" r="1056" customHeight="1" ht="18.75" hidden="1">
      <c r="A1056" s="12" t="s">
        <v>3163</v>
      </c>
      <c r="B1056" s="9">
        <v>45669</v>
      </c>
      <c r="C1056" s="12" t="s">
        <v>2</v>
      </c>
      <c r="D1056" s="12" t="s">
        <v>3164</v>
      </c>
      <c r="E1056" s="12" t="s">
        <v>2</v>
      </c>
      <c r="F1056" s="12" t="s">
        <v>3165</v>
      </c>
    </row>
    <row x14ac:dyDescent="0.25" r="1057" customHeight="1" ht="18.75" hidden="1">
      <c r="A1057" s="12" t="s">
        <v>3166</v>
      </c>
      <c r="B1057" s="9">
        <v>45669</v>
      </c>
      <c r="C1057" s="12" t="s">
        <v>2</v>
      </c>
      <c r="D1057" s="12" t="s">
        <v>3167</v>
      </c>
      <c r="E1057" s="12" t="s">
        <v>2</v>
      </c>
      <c r="F1057" s="12" t="s">
        <v>3168</v>
      </c>
    </row>
    <row x14ac:dyDescent="0.25" r="1058" customHeight="1" ht="18.75" hidden="1">
      <c r="A1058" s="12" t="s">
        <v>3169</v>
      </c>
      <c r="B1058" s="9">
        <v>45669</v>
      </c>
      <c r="C1058" s="12" t="s">
        <v>2</v>
      </c>
      <c r="D1058" s="12" t="s">
        <v>3170</v>
      </c>
      <c r="E1058" s="12" t="s">
        <v>2</v>
      </c>
      <c r="F1058" s="12" t="s">
        <v>3171</v>
      </c>
    </row>
    <row x14ac:dyDescent="0.25" r="1059" customHeight="1" ht="18.75" hidden="1">
      <c r="A1059" s="12" t="s">
        <v>3172</v>
      </c>
      <c r="B1059" s="9">
        <v>45669</v>
      </c>
      <c r="C1059" s="12" t="s">
        <v>3</v>
      </c>
      <c r="D1059" s="12" t="s">
        <v>3173</v>
      </c>
      <c r="E1059" s="12" t="s">
        <v>3</v>
      </c>
      <c r="F1059" s="12" t="s">
        <v>3174</v>
      </c>
    </row>
    <row x14ac:dyDescent="0.25" r="1060" customHeight="1" ht="18.75" hidden="1">
      <c r="A1060" s="12" t="s">
        <v>3175</v>
      </c>
      <c r="B1060" s="9">
        <v>45669</v>
      </c>
      <c r="C1060" s="12" t="s">
        <v>3</v>
      </c>
      <c r="D1060" s="12" t="s">
        <v>3176</v>
      </c>
      <c r="E1060" s="12" t="s">
        <v>3</v>
      </c>
      <c r="F1060" s="12" t="s">
        <v>3177</v>
      </c>
    </row>
    <row x14ac:dyDescent="0.25" r="1061" customHeight="1" ht="18.75">
      <c r="A1061" s="12" t="s">
        <v>3178</v>
      </c>
      <c r="B1061" s="9">
        <v>45668</v>
      </c>
      <c r="C1061" s="12" t="s">
        <v>13</v>
      </c>
      <c r="D1061" s="12" t="s">
        <v>3179</v>
      </c>
      <c r="E1061" s="12" t="s">
        <v>13</v>
      </c>
      <c r="F1061" s="12" t="s">
        <v>3180</v>
      </c>
    </row>
    <row x14ac:dyDescent="0.25" r="1062" customHeight="1" ht="18.75" hidden="1">
      <c r="A1062" s="12" t="s">
        <v>3181</v>
      </c>
      <c r="B1062" s="9">
        <v>45667</v>
      </c>
      <c r="C1062" s="12" t="s">
        <v>2</v>
      </c>
      <c r="D1062" s="12" t="s">
        <v>3182</v>
      </c>
      <c r="E1062" s="12" t="s">
        <v>2</v>
      </c>
      <c r="F1062" s="12" t="s">
        <v>3183</v>
      </c>
    </row>
    <row x14ac:dyDescent="0.25" r="1063" customHeight="1" ht="18.75" hidden="1">
      <c r="A1063" s="12" t="s">
        <v>3184</v>
      </c>
      <c r="B1063" s="9">
        <v>45667</v>
      </c>
      <c r="C1063" s="12" t="s">
        <v>2</v>
      </c>
      <c r="D1063" s="12" t="s">
        <v>3185</v>
      </c>
      <c r="E1063" s="12" t="s">
        <v>2</v>
      </c>
      <c r="F1063" s="12" t="s">
        <v>3186</v>
      </c>
    </row>
    <row x14ac:dyDescent="0.25" r="1064" customHeight="1" ht="18.75" hidden="1">
      <c r="A1064" s="12" t="s">
        <v>3187</v>
      </c>
      <c r="B1064" s="9">
        <v>45667</v>
      </c>
      <c r="C1064" s="12" t="s">
        <v>3</v>
      </c>
      <c r="D1064" s="12" t="s">
        <v>3188</v>
      </c>
      <c r="E1064" s="12" t="s">
        <v>3</v>
      </c>
      <c r="F1064" s="12" t="s">
        <v>3189</v>
      </c>
    </row>
    <row x14ac:dyDescent="0.25" r="1065" customHeight="1" ht="18.75" hidden="1">
      <c r="A1065" s="12" t="s">
        <v>3190</v>
      </c>
      <c r="B1065" s="9">
        <v>45667</v>
      </c>
      <c r="C1065" s="12" t="s">
        <v>3</v>
      </c>
      <c r="D1065" s="12" t="s">
        <v>3191</v>
      </c>
      <c r="E1065" s="12" t="s">
        <v>3</v>
      </c>
      <c r="F1065" s="12" t="s">
        <v>3192</v>
      </c>
    </row>
    <row x14ac:dyDescent="0.25" r="1066" customHeight="1" ht="18.75" hidden="1">
      <c r="A1066" s="12" t="s">
        <v>3193</v>
      </c>
      <c r="B1066" s="9">
        <v>45667</v>
      </c>
      <c r="C1066" s="12" t="s">
        <v>3</v>
      </c>
      <c r="D1066" s="12" t="s">
        <v>3194</v>
      </c>
      <c r="E1066" s="12" t="s">
        <v>3</v>
      </c>
      <c r="F1066" s="12" t="s">
        <v>3195</v>
      </c>
    </row>
    <row x14ac:dyDescent="0.25" r="1067" customHeight="1" ht="18.75" hidden="1">
      <c r="A1067" s="12" t="s">
        <v>3196</v>
      </c>
      <c r="B1067" s="9">
        <v>45667</v>
      </c>
      <c r="C1067" s="12" t="s">
        <v>2</v>
      </c>
      <c r="D1067" s="12" t="s">
        <v>3197</v>
      </c>
      <c r="E1067" s="12" t="s">
        <v>2</v>
      </c>
      <c r="F1067" s="12" t="s">
        <v>3198</v>
      </c>
    </row>
    <row x14ac:dyDescent="0.25" r="1068" customHeight="1" ht="18.75">
      <c r="A1068" s="12" t="s">
        <v>3199</v>
      </c>
      <c r="B1068" s="9">
        <v>45667</v>
      </c>
      <c r="C1068" s="12" t="s">
        <v>13</v>
      </c>
      <c r="D1068" s="12" t="s">
        <v>3200</v>
      </c>
      <c r="E1068" s="12" t="s">
        <v>13</v>
      </c>
      <c r="F1068" s="12" t="s">
        <v>3201</v>
      </c>
    </row>
    <row x14ac:dyDescent="0.25" r="1069" customHeight="1" ht="18.75" hidden="1">
      <c r="A1069" s="12" t="s">
        <v>3202</v>
      </c>
      <c r="B1069" s="9">
        <v>45667</v>
      </c>
      <c r="C1069" s="12" t="s">
        <v>2</v>
      </c>
      <c r="D1069" s="12" t="s">
        <v>3203</v>
      </c>
      <c r="E1069" s="12" t="s">
        <v>2</v>
      </c>
      <c r="F1069" s="12" t="s">
        <v>3204</v>
      </c>
    </row>
    <row x14ac:dyDescent="0.25" r="1070" customHeight="1" ht="18.75" hidden="1">
      <c r="A1070" s="12" t="s">
        <v>3205</v>
      </c>
      <c r="B1070" s="9">
        <v>45666</v>
      </c>
      <c r="C1070" s="12" t="s">
        <v>2</v>
      </c>
      <c r="D1070" s="12" t="s">
        <v>3206</v>
      </c>
      <c r="E1070" s="12" t="s">
        <v>2</v>
      </c>
      <c r="F1070" s="12" t="s">
        <v>3207</v>
      </c>
    </row>
    <row x14ac:dyDescent="0.25" r="1071" customHeight="1" ht="18.75">
      <c r="A1071" s="12" t="s">
        <v>3208</v>
      </c>
      <c r="B1071" s="9">
        <v>45666</v>
      </c>
      <c r="C1071" s="12" t="s">
        <v>101</v>
      </c>
      <c r="D1071" s="12" t="s">
        <v>3209</v>
      </c>
      <c r="E1071" s="12" t="s">
        <v>13</v>
      </c>
      <c r="F1071" s="12" t="s">
        <v>3210</v>
      </c>
    </row>
    <row x14ac:dyDescent="0.25" r="1072" customHeight="1" ht="18.75" hidden="1">
      <c r="A1072" s="12" t="s">
        <v>3211</v>
      </c>
      <c r="B1072" s="9">
        <v>45666</v>
      </c>
      <c r="C1072" s="12" t="s">
        <v>2</v>
      </c>
      <c r="D1072" s="12" t="s">
        <v>3212</v>
      </c>
      <c r="E1072" s="12" t="s">
        <v>2</v>
      </c>
      <c r="F1072" s="12" t="s">
        <v>3213</v>
      </c>
    </row>
    <row x14ac:dyDescent="0.25" r="1073" customHeight="1" ht="18.75" hidden="1">
      <c r="A1073" s="12" t="s">
        <v>3214</v>
      </c>
      <c r="B1073" s="9">
        <v>45666</v>
      </c>
      <c r="C1073" s="12" t="s">
        <v>3</v>
      </c>
      <c r="D1073" s="12" t="s">
        <v>3215</v>
      </c>
      <c r="E1073" s="12" t="s">
        <v>3</v>
      </c>
      <c r="F1073" s="12" t="s">
        <v>3216</v>
      </c>
    </row>
    <row x14ac:dyDescent="0.25" r="1074" customHeight="1" ht="18.75" hidden="1">
      <c r="A1074" s="12" t="s">
        <v>3217</v>
      </c>
      <c r="B1074" s="9">
        <v>45665</v>
      </c>
      <c r="C1074" s="12" t="s">
        <v>2</v>
      </c>
      <c r="D1074" s="12" t="s">
        <v>3218</v>
      </c>
      <c r="E1074" s="12" t="s">
        <v>2</v>
      </c>
      <c r="F1074" s="12" t="s">
        <v>3219</v>
      </c>
    </row>
    <row x14ac:dyDescent="0.25" r="1075" customHeight="1" ht="18.75">
      <c r="A1075" s="12" t="s">
        <v>3220</v>
      </c>
      <c r="B1075" s="9">
        <v>45665</v>
      </c>
      <c r="C1075" s="12" t="s">
        <v>13</v>
      </c>
      <c r="D1075" s="12" t="s">
        <v>3221</v>
      </c>
      <c r="E1075" s="12" t="s">
        <v>13</v>
      </c>
      <c r="F1075" s="12" t="s">
        <v>3222</v>
      </c>
    </row>
    <row x14ac:dyDescent="0.25" r="1076" customHeight="1" ht="18.75" hidden="1">
      <c r="A1076" s="12" t="s">
        <v>3223</v>
      </c>
      <c r="B1076" s="9">
        <v>45665</v>
      </c>
      <c r="C1076" s="12" t="s">
        <v>2</v>
      </c>
      <c r="D1076" s="12" t="s">
        <v>3224</v>
      </c>
      <c r="E1076" s="12" t="s">
        <v>2</v>
      </c>
      <c r="F1076" s="12" t="s">
        <v>3225</v>
      </c>
    </row>
    <row x14ac:dyDescent="0.25" r="1077" customHeight="1" ht="18.75" hidden="1">
      <c r="A1077" s="12" t="s">
        <v>3226</v>
      </c>
      <c r="B1077" s="9">
        <v>45665</v>
      </c>
      <c r="C1077" s="12" t="s">
        <v>2</v>
      </c>
      <c r="D1077" s="12" t="s">
        <v>3227</v>
      </c>
      <c r="E1077" s="12" t="s">
        <v>2</v>
      </c>
      <c r="F1077" s="12" t="s">
        <v>3228</v>
      </c>
    </row>
    <row x14ac:dyDescent="0.25" r="1078" customHeight="1" ht="18.75" hidden="1">
      <c r="A1078" s="12" t="s">
        <v>3229</v>
      </c>
      <c r="B1078" s="9">
        <v>45665</v>
      </c>
      <c r="C1078" s="12" t="s">
        <v>2</v>
      </c>
      <c r="D1078" s="12" t="s">
        <v>3230</v>
      </c>
      <c r="E1078" s="12" t="s">
        <v>2</v>
      </c>
      <c r="F1078" s="12" t="s">
        <v>3231</v>
      </c>
    </row>
    <row x14ac:dyDescent="0.25" r="1079" customHeight="1" ht="18.75" hidden="1">
      <c r="A1079" s="12" t="s">
        <v>3232</v>
      </c>
      <c r="B1079" s="9">
        <v>45664</v>
      </c>
      <c r="C1079" s="12" t="s">
        <v>2</v>
      </c>
      <c r="D1079" s="12" t="s">
        <v>3233</v>
      </c>
      <c r="E1079" s="12" t="s">
        <v>2</v>
      </c>
      <c r="F1079" s="12" t="s">
        <v>3234</v>
      </c>
    </row>
    <row x14ac:dyDescent="0.25" r="1080" customHeight="1" ht="18.75" hidden="1">
      <c r="A1080" s="12" t="s">
        <v>3235</v>
      </c>
      <c r="B1080" s="9">
        <v>45664</v>
      </c>
      <c r="C1080" s="12" t="s">
        <v>3</v>
      </c>
      <c r="D1080" s="12" t="s">
        <v>3236</v>
      </c>
      <c r="E1080" s="12" t="s">
        <v>3</v>
      </c>
      <c r="F1080" s="12" t="s">
        <v>3237</v>
      </c>
    </row>
    <row x14ac:dyDescent="0.25" r="1081" customHeight="1" ht="18.75" hidden="1">
      <c r="A1081" s="12" t="s">
        <v>3238</v>
      </c>
      <c r="B1081" s="9">
        <v>45664</v>
      </c>
      <c r="C1081" s="12" t="s">
        <v>2</v>
      </c>
      <c r="D1081" s="12" t="s">
        <v>3239</v>
      </c>
      <c r="E1081" s="12" t="s">
        <v>2</v>
      </c>
      <c r="F1081" s="12" t="s">
        <v>3240</v>
      </c>
    </row>
    <row x14ac:dyDescent="0.25" r="1082" customHeight="1" ht="18.75">
      <c r="A1082" s="12" t="s">
        <v>3241</v>
      </c>
      <c r="B1082" s="9">
        <v>45664</v>
      </c>
      <c r="C1082" s="12" t="s">
        <v>13</v>
      </c>
      <c r="D1082" s="12" t="s">
        <v>3242</v>
      </c>
      <c r="E1082" s="12" t="s">
        <v>13</v>
      </c>
      <c r="F1082" s="12" t="s">
        <v>3243</v>
      </c>
    </row>
    <row x14ac:dyDescent="0.25" r="1083" customHeight="1" ht="18.75" hidden="1">
      <c r="A1083" s="12" t="s">
        <v>3244</v>
      </c>
      <c r="B1083" s="9">
        <v>45664</v>
      </c>
      <c r="C1083" s="12" t="s">
        <v>2</v>
      </c>
      <c r="D1083" s="12" t="s">
        <v>3245</v>
      </c>
      <c r="E1083" s="12" t="s">
        <v>2</v>
      </c>
      <c r="F1083" s="12" t="s">
        <v>3246</v>
      </c>
    </row>
    <row x14ac:dyDescent="0.25" r="1084" customHeight="1" ht="18.75">
      <c r="A1084" s="12" t="s">
        <v>3247</v>
      </c>
      <c r="B1084" s="9">
        <v>45663</v>
      </c>
      <c r="C1084" s="12" t="s">
        <v>13</v>
      </c>
      <c r="D1084" s="12" t="s">
        <v>3248</v>
      </c>
      <c r="E1084" s="12" t="s">
        <v>13</v>
      </c>
      <c r="F1084" s="12" t="s">
        <v>3249</v>
      </c>
    </row>
    <row x14ac:dyDescent="0.25" r="1085" customHeight="1" ht="18.75" hidden="1">
      <c r="A1085" s="12" t="s">
        <v>3250</v>
      </c>
      <c r="B1085" s="9">
        <v>45663</v>
      </c>
      <c r="C1085" s="12" t="s">
        <v>2</v>
      </c>
      <c r="D1085" s="12" t="s">
        <v>3251</v>
      </c>
      <c r="E1085" s="12" t="s">
        <v>2</v>
      </c>
      <c r="F1085" s="12" t="s">
        <v>3252</v>
      </c>
    </row>
    <row x14ac:dyDescent="0.25" r="1086" customHeight="1" ht="18.75" hidden="1">
      <c r="A1086" s="12" t="s">
        <v>3253</v>
      </c>
      <c r="B1086" s="9">
        <v>45663</v>
      </c>
      <c r="C1086" s="12" t="s">
        <v>3</v>
      </c>
      <c r="D1086" s="12" t="s">
        <v>3254</v>
      </c>
      <c r="E1086" s="12" t="s">
        <v>3</v>
      </c>
      <c r="F1086" s="12" t="s">
        <v>3255</v>
      </c>
    </row>
    <row x14ac:dyDescent="0.25" r="1087" customHeight="1" ht="18.75" hidden="1">
      <c r="A1087" s="12" t="s">
        <v>3256</v>
      </c>
      <c r="B1087" s="9">
        <v>45663</v>
      </c>
      <c r="C1087" s="12" t="s">
        <v>2</v>
      </c>
      <c r="D1087" s="12" t="s">
        <v>3257</v>
      </c>
      <c r="E1087" s="12" t="s">
        <v>2</v>
      </c>
      <c r="F1087" s="12" t="s">
        <v>3258</v>
      </c>
    </row>
    <row x14ac:dyDescent="0.25" r="1088" customHeight="1" ht="18.75" hidden="1">
      <c r="A1088" s="12" t="s">
        <v>3259</v>
      </c>
      <c r="B1088" s="9">
        <v>45663</v>
      </c>
      <c r="C1088" s="12" t="s">
        <v>2</v>
      </c>
      <c r="D1088" s="12" t="s">
        <v>3260</v>
      </c>
      <c r="E1088" s="12" t="s">
        <v>2</v>
      </c>
      <c r="F1088" s="12" t="s">
        <v>3261</v>
      </c>
    </row>
    <row x14ac:dyDescent="0.25" r="1089" customHeight="1" ht="18.75" hidden="1">
      <c r="A1089" s="12" t="s">
        <v>3262</v>
      </c>
      <c r="B1089" s="9">
        <v>45663</v>
      </c>
      <c r="C1089" s="12" t="s">
        <v>2</v>
      </c>
      <c r="D1089" s="12" t="s">
        <v>3263</v>
      </c>
      <c r="E1089" s="12" t="s">
        <v>2</v>
      </c>
      <c r="F1089" s="12" t="s">
        <v>3264</v>
      </c>
    </row>
    <row x14ac:dyDescent="0.25" r="1090" customHeight="1" ht="18.75" hidden="1">
      <c r="A1090" s="12" t="s">
        <v>3265</v>
      </c>
      <c r="B1090" s="9">
        <v>45663</v>
      </c>
      <c r="C1090" s="12" t="s">
        <v>3</v>
      </c>
      <c r="D1090" s="12" t="s">
        <v>3266</v>
      </c>
      <c r="E1090" s="12" t="s">
        <v>3</v>
      </c>
      <c r="F1090" s="12" t="s">
        <v>3267</v>
      </c>
    </row>
    <row x14ac:dyDescent="0.25" r="1091" customHeight="1" ht="18.75">
      <c r="A1091" s="12" t="s">
        <v>3268</v>
      </c>
      <c r="B1091" s="9">
        <v>45662</v>
      </c>
      <c r="C1091" s="12" t="s">
        <v>101</v>
      </c>
      <c r="D1091" s="12" t="s">
        <v>3269</v>
      </c>
      <c r="E1091" s="12" t="s">
        <v>13</v>
      </c>
      <c r="F1091" s="12" t="s">
        <v>3270</v>
      </c>
    </row>
    <row x14ac:dyDescent="0.25" r="1092" customHeight="1" ht="18.75" hidden="1">
      <c r="A1092" s="12" t="s">
        <v>3271</v>
      </c>
      <c r="B1092" s="9">
        <v>45662</v>
      </c>
      <c r="C1092" s="12" t="s">
        <v>2</v>
      </c>
      <c r="D1092" s="12" t="s">
        <v>3272</v>
      </c>
      <c r="E1092" s="12" t="s">
        <v>2</v>
      </c>
      <c r="F1092" s="12" t="s">
        <v>3273</v>
      </c>
    </row>
    <row x14ac:dyDescent="0.25" r="1093" customHeight="1" ht="18.75" hidden="1">
      <c r="A1093" s="12" t="s">
        <v>3274</v>
      </c>
      <c r="B1093" s="9">
        <v>45661</v>
      </c>
      <c r="C1093" s="12" t="s">
        <v>2</v>
      </c>
      <c r="D1093" s="12" t="s">
        <v>3275</v>
      </c>
      <c r="E1093" s="12" t="s">
        <v>2</v>
      </c>
      <c r="F1093" s="12" t="s">
        <v>3276</v>
      </c>
    </row>
    <row x14ac:dyDescent="0.25" r="1094" customHeight="1" ht="18.75" hidden="1">
      <c r="A1094" s="12" t="s">
        <v>3277</v>
      </c>
      <c r="B1094" s="9">
        <v>45660</v>
      </c>
      <c r="C1094" s="12" t="s">
        <v>2</v>
      </c>
      <c r="D1094" s="12" t="s">
        <v>3278</v>
      </c>
      <c r="E1094" s="12" t="s">
        <v>2</v>
      </c>
      <c r="F1094" s="12" t="s">
        <v>3279</v>
      </c>
    </row>
    <row x14ac:dyDescent="0.25" r="1095" customHeight="1" ht="18.75" hidden="1">
      <c r="A1095" s="12" t="s">
        <v>3280</v>
      </c>
      <c r="B1095" s="9">
        <v>45660</v>
      </c>
      <c r="C1095" s="12" t="s">
        <v>101</v>
      </c>
      <c r="D1095" s="12" t="s">
        <v>3281</v>
      </c>
      <c r="E1095" s="12" t="s">
        <v>2</v>
      </c>
      <c r="F1095" s="12" t="s">
        <v>3282</v>
      </c>
    </row>
    <row x14ac:dyDescent="0.25" r="1096" customHeight="1" ht="18.75" hidden="1">
      <c r="A1096" s="12" t="s">
        <v>3283</v>
      </c>
      <c r="B1096" s="9">
        <v>45660</v>
      </c>
      <c r="C1096" s="12" t="s">
        <v>2</v>
      </c>
      <c r="D1096" s="12" t="s">
        <v>3284</v>
      </c>
      <c r="E1096" s="12" t="s">
        <v>2</v>
      </c>
      <c r="F1096" s="12" t="s">
        <v>3285</v>
      </c>
    </row>
    <row x14ac:dyDescent="0.25" r="1097" customHeight="1" ht="18.75">
      <c r="A1097" s="12" t="s">
        <v>3286</v>
      </c>
      <c r="B1097" s="9">
        <v>45660</v>
      </c>
      <c r="C1097" s="12" t="s">
        <v>13</v>
      </c>
      <c r="D1097" s="12" t="s">
        <v>3287</v>
      </c>
      <c r="E1097" s="12" t="s">
        <v>13</v>
      </c>
      <c r="F1097" s="12" t="s">
        <v>3288</v>
      </c>
    </row>
    <row x14ac:dyDescent="0.25" r="1098" customHeight="1" ht="18.75" hidden="1">
      <c r="A1098" s="12" t="s">
        <v>3289</v>
      </c>
      <c r="B1098" s="9">
        <v>45659</v>
      </c>
      <c r="C1098" s="12" t="s">
        <v>2</v>
      </c>
      <c r="D1098" s="12" t="s">
        <v>3290</v>
      </c>
      <c r="E1098" s="12" t="s">
        <v>2</v>
      </c>
      <c r="F1098" s="12" t="s">
        <v>3291</v>
      </c>
    </row>
    <row x14ac:dyDescent="0.25" r="1099" customHeight="1" ht="18.75" hidden="1">
      <c r="A1099" s="12" t="s">
        <v>3292</v>
      </c>
      <c r="B1099" s="9">
        <v>45659</v>
      </c>
      <c r="C1099" s="12" t="s">
        <v>2</v>
      </c>
      <c r="D1099" s="12" t="s">
        <v>3293</v>
      </c>
      <c r="E1099" s="12" t="s">
        <v>2</v>
      </c>
      <c r="F1099" s="12" t="s">
        <v>3294</v>
      </c>
    </row>
    <row x14ac:dyDescent="0.25" r="1100" customHeight="1" ht="18.75" hidden="1">
      <c r="A1100" s="12" t="s">
        <v>3295</v>
      </c>
      <c r="B1100" s="9">
        <v>45659</v>
      </c>
      <c r="C1100" s="12" t="s">
        <v>2</v>
      </c>
      <c r="D1100" s="12" t="s">
        <v>3296</v>
      </c>
      <c r="E1100" s="12" t="s">
        <v>2</v>
      </c>
      <c r="F1100" s="12" t="s">
        <v>3297</v>
      </c>
    </row>
    <row x14ac:dyDescent="0.25" r="1101" customHeight="1" ht="18.75" hidden="1">
      <c r="A1101" s="12" t="s">
        <v>3298</v>
      </c>
      <c r="B1101" s="9">
        <v>45659</v>
      </c>
      <c r="C1101" s="12" t="s">
        <v>2</v>
      </c>
      <c r="D1101" s="12" t="s">
        <v>3299</v>
      </c>
      <c r="E1101" s="12" t="s">
        <v>2</v>
      </c>
      <c r="F1101" s="12" t="s">
        <v>3300</v>
      </c>
    </row>
    <row x14ac:dyDescent="0.25" r="1102" customHeight="1" ht="18.75" hidden="1">
      <c r="A1102" s="12" t="s">
        <v>3301</v>
      </c>
      <c r="B1102" s="9">
        <v>45659</v>
      </c>
      <c r="C1102" s="12" t="s">
        <v>2</v>
      </c>
      <c r="D1102" s="12" t="s">
        <v>3302</v>
      </c>
      <c r="E1102" s="12" t="s">
        <v>2</v>
      </c>
      <c r="F1102" s="12" t="s">
        <v>3303</v>
      </c>
    </row>
    <row x14ac:dyDescent="0.25" r="1103" customHeight="1" ht="18.75" hidden="1">
      <c r="A1103" s="12" t="s">
        <v>3304</v>
      </c>
      <c r="B1103" s="9">
        <v>45659</v>
      </c>
      <c r="C1103" s="12" t="s">
        <v>2</v>
      </c>
      <c r="D1103" s="12" t="s">
        <v>3305</v>
      </c>
      <c r="E1103" s="12" t="s">
        <v>2</v>
      </c>
      <c r="F1103" s="12" t="s">
        <v>3306</v>
      </c>
    </row>
    <row x14ac:dyDescent="0.25" r="1104" customHeight="1" ht="18.75" hidden="1">
      <c r="A1104" s="12" t="s">
        <v>3307</v>
      </c>
      <c r="B1104" s="9">
        <v>45657</v>
      </c>
      <c r="C1104" s="12" t="s">
        <v>2</v>
      </c>
      <c r="D1104" s="12" t="s">
        <v>3308</v>
      </c>
      <c r="E1104" s="12" t="s">
        <v>2</v>
      </c>
      <c r="F1104" s="12" t="s">
        <v>3309</v>
      </c>
    </row>
    <row x14ac:dyDescent="0.25" r="1105" customHeight="1" ht="18.75" hidden="1">
      <c r="A1105" s="12" t="s">
        <v>3310</v>
      </c>
      <c r="B1105" s="9">
        <v>45657</v>
      </c>
      <c r="C1105" s="12" t="s">
        <v>3</v>
      </c>
      <c r="D1105" s="12" t="s">
        <v>3311</v>
      </c>
      <c r="E1105" s="12" t="s">
        <v>3</v>
      </c>
      <c r="F1105" s="12" t="s">
        <v>3312</v>
      </c>
    </row>
    <row x14ac:dyDescent="0.25" r="1106" customHeight="1" ht="18.75" hidden="1">
      <c r="A1106" s="12" t="s">
        <v>3313</v>
      </c>
      <c r="B1106" s="9">
        <v>45657</v>
      </c>
      <c r="C1106" s="12" t="s">
        <v>3</v>
      </c>
      <c r="D1106" s="12" t="s">
        <v>3314</v>
      </c>
      <c r="E1106" s="12" t="s">
        <v>3</v>
      </c>
      <c r="F1106" s="12" t="s">
        <v>3315</v>
      </c>
    </row>
    <row x14ac:dyDescent="0.25" r="1107" customHeight="1" ht="18.75" hidden="1">
      <c r="A1107" s="12" t="s">
        <v>3316</v>
      </c>
      <c r="B1107" s="9">
        <v>45657</v>
      </c>
      <c r="C1107" s="12" t="s">
        <v>3</v>
      </c>
      <c r="D1107" s="12" t="s">
        <v>3317</v>
      </c>
      <c r="E1107" s="12" t="s">
        <v>3</v>
      </c>
      <c r="F1107" s="12" t="s">
        <v>3318</v>
      </c>
    </row>
    <row x14ac:dyDescent="0.25" r="1108" customHeight="1" ht="18.75">
      <c r="A1108" s="12" t="s">
        <v>3319</v>
      </c>
      <c r="B1108" s="9">
        <v>45657</v>
      </c>
      <c r="C1108" s="12" t="s">
        <v>13</v>
      </c>
      <c r="D1108" s="12" t="s">
        <v>3320</v>
      </c>
      <c r="E1108" s="12" t="s">
        <v>13</v>
      </c>
      <c r="F1108" s="12" t="s">
        <v>3321</v>
      </c>
    </row>
    <row x14ac:dyDescent="0.25" r="1109" customHeight="1" ht="18.75" hidden="1">
      <c r="A1109" s="12" t="s">
        <v>3322</v>
      </c>
      <c r="B1109" s="9">
        <v>45657</v>
      </c>
      <c r="C1109" s="12" t="s">
        <v>3</v>
      </c>
      <c r="D1109" s="12" t="s">
        <v>3323</v>
      </c>
      <c r="E1109" s="12" t="s">
        <v>3</v>
      </c>
      <c r="F1109" s="12" t="s">
        <v>3324</v>
      </c>
    </row>
    <row x14ac:dyDescent="0.25" r="1110" customHeight="1" ht="18.75">
      <c r="A1110" s="12" t="s">
        <v>3325</v>
      </c>
      <c r="B1110" s="9">
        <v>45657</v>
      </c>
      <c r="C1110" s="12" t="s">
        <v>13</v>
      </c>
      <c r="D1110" s="12" t="s">
        <v>3326</v>
      </c>
      <c r="E1110" s="12" t="s">
        <v>13</v>
      </c>
      <c r="F1110" s="12" t="s">
        <v>3327</v>
      </c>
    </row>
    <row x14ac:dyDescent="0.25" r="1111" customHeight="1" ht="18.75" hidden="1">
      <c r="A1111" s="12" t="s">
        <v>3328</v>
      </c>
      <c r="B1111" s="9">
        <v>45657</v>
      </c>
      <c r="C1111" s="12" t="s">
        <v>2</v>
      </c>
      <c r="D1111" s="12" t="s">
        <v>3329</v>
      </c>
      <c r="E1111" s="12" t="s">
        <v>2</v>
      </c>
      <c r="F1111" s="12" t="s">
        <v>3330</v>
      </c>
    </row>
    <row x14ac:dyDescent="0.25" r="1112" customHeight="1" ht="18.75" hidden="1">
      <c r="A1112" s="12" t="s">
        <v>3331</v>
      </c>
      <c r="B1112" s="9">
        <v>45656</v>
      </c>
      <c r="C1112" s="12" t="s">
        <v>2</v>
      </c>
      <c r="D1112" s="12" t="s">
        <v>3332</v>
      </c>
      <c r="E1112" s="12" t="s">
        <v>2</v>
      </c>
      <c r="F1112" s="12" t="s">
        <v>3333</v>
      </c>
    </row>
    <row x14ac:dyDescent="0.25" r="1113" customHeight="1" ht="18.75" hidden="1">
      <c r="A1113" s="12" t="s">
        <v>3334</v>
      </c>
      <c r="B1113" s="9">
        <v>45656</v>
      </c>
      <c r="C1113" s="12" t="s">
        <v>3</v>
      </c>
      <c r="D1113" s="12" t="s">
        <v>3335</v>
      </c>
      <c r="E1113" s="12" t="s">
        <v>3</v>
      </c>
      <c r="F1113" s="12" t="s">
        <v>3336</v>
      </c>
    </row>
    <row x14ac:dyDescent="0.25" r="1114" customHeight="1" ht="18.75" hidden="1">
      <c r="A1114" s="12" t="s">
        <v>3337</v>
      </c>
      <c r="B1114" s="9">
        <v>45656</v>
      </c>
      <c r="C1114" s="12" t="s">
        <v>3</v>
      </c>
      <c r="D1114" s="12" t="s">
        <v>3338</v>
      </c>
      <c r="E1114" s="12" t="s">
        <v>3</v>
      </c>
      <c r="F1114" s="12" t="s">
        <v>3339</v>
      </c>
    </row>
    <row x14ac:dyDescent="0.25" r="1115" customHeight="1" ht="18.75" hidden="1">
      <c r="A1115" s="12" t="s">
        <v>3340</v>
      </c>
      <c r="B1115" s="9">
        <v>45655</v>
      </c>
      <c r="C1115" s="12" t="s">
        <v>2</v>
      </c>
      <c r="D1115" s="12" t="s">
        <v>3341</v>
      </c>
      <c r="E1115" s="12" t="s">
        <v>3</v>
      </c>
      <c r="F1115" s="12" t="s">
        <v>3342</v>
      </c>
    </row>
    <row x14ac:dyDescent="0.25" r="1116" customHeight="1" ht="18.75" hidden="1">
      <c r="A1116" s="12" t="s">
        <v>3343</v>
      </c>
      <c r="B1116" s="9">
        <v>45654</v>
      </c>
      <c r="C1116" s="12" t="s">
        <v>3</v>
      </c>
      <c r="D1116" s="12" t="s">
        <v>3344</v>
      </c>
      <c r="E1116" s="12" t="s">
        <v>3</v>
      </c>
      <c r="F1116" s="12" t="s">
        <v>3345</v>
      </c>
    </row>
    <row x14ac:dyDescent="0.25" r="1117" customHeight="1" ht="18.75" hidden="1">
      <c r="A1117" s="12" t="s">
        <v>3346</v>
      </c>
      <c r="B1117" s="9">
        <v>45652</v>
      </c>
      <c r="C1117" s="12" t="s">
        <v>2</v>
      </c>
      <c r="D1117" s="12" t="s">
        <v>3347</v>
      </c>
      <c r="E1117" s="12" t="s">
        <v>2</v>
      </c>
      <c r="F1117" s="12" t="s">
        <v>3348</v>
      </c>
    </row>
    <row x14ac:dyDescent="0.25" r="1118" customHeight="1" ht="18.75" hidden="1">
      <c r="A1118" s="12" t="s">
        <v>3349</v>
      </c>
      <c r="B1118" s="9">
        <v>45652</v>
      </c>
      <c r="C1118" s="12" t="s">
        <v>2</v>
      </c>
      <c r="D1118" s="12" t="s">
        <v>3350</v>
      </c>
      <c r="E1118" s="12" t="s">
        <v>2</v>
      </c>
      <c r="F1118" s="12" t="s">
        <v>3351</v>
      </c>
    </row>
    <row x14ac:dyDescent="0.25" r="1119" customHeight="1" ht="18.75" hidden="1">
      <c r="A1119" s="12" t="s">
        <v>3352</v>
      </c>
      <c r="B1119" s="9">
        <v>45651</v>
      </c>
      <c r="C1119" s="12" t="s">
        <v>2</v>
      </c>
      <c r="D1119" s="12" t="s">
        <v>3353</v>
      </c>
      <c r="E1119" s="12" t="s">
        <v>2</v>
      </c>
      <c r="F1119" s="12" t="s">
        <v>3354</v>
      </c>
    </row>
    <row x14ac:dyDescent="0.25" r="1120" customHeight="1" ht="18.75" hidden="1">
      <c r="A1120" s="12" t="s">
        <v>3355</v>
      </c>
      <c r="B1120" s="9">
        <v>45649</v>
      </c>
      <c r="C1120" s="12" t="s">
        <v>2</v>
      </c>
      <c r="D1120" s="12" t="s">
        <v>3356</v>
      </c>
      <c r="E1120" s="12" t="s">
        <v>2</v>
      </c>
      <c r="F1120" s="12" t="s">
        <v>3357</v>
      </c>
    </row>
    <row x14ac:dyDescent="0.25" r="1121" customHeight="1" ht="18.75" hidden="1">
      <c r="A1121" s="12" t="s">
        <v>3358</v>
      </c>
      <c r="B1121" s="9">
        <v>45649</v>
      </c>
      <c r="C1121" s="12" t="s">
        <v>2</v>
      </c>
      <c r="D1121" s="12" t="s">
        <v>3359</v>
      </c>
      <c r="E1121" s="12" t="s">
        <v>2</v>
      </c>
      <c r="F1121" s="12" t="s">
        <v>3360</v>
      </c>
    </row>
    <row x14ac:dyDescent="0.25" r="1122" customHeight="1" ht="18.75" hidden="1">
      <c r="A1122" s="12" t="s">
        <v>3361</v>
      </c>
      <c r="B1122" s="9">
        <v>45649</v>
      </c>
      <c r="C1122" s="12" t="s">
        <v>3</v>
      </c>
      <c r="D1122" s="12" t="s">
        <v>3362</v>
      </c>
      <c r="E1122" s="12" t="s">
        <v>3</v>
      </c>
      <c r="F1122" s="12" t="s">
        <v>3363</v>
      </c>
    </row>
    <row x14ac:dyDescent="0.25" r="1123" customHeight="1" ht="18.75" hidden="1">
      <c r="A1123" s="12" t="s">
        <v>3364</v>
      </c>
      <c r="B1123" s="9">
        <v>45648</v>
      </c>
      <c r="C1123" s="12" t="s">
        <v>3</v>
      </c>
      <c r="D1123" s="12" t="s">
        <v>3365</v>
      </c>
      <c r="E1123" s="12" t="s">
        <v>3</v>
      </c>
      <c r="F1123" s="12" t="s">
        <v>3366</v>
      </c>
    </row>
    <row x14ac:dyDescent="0.25" r="1124" customHeight="1" ht="18.75" hidden="1">
      <c r="A1124" s="12" t="s">
        <v>3367</v>
      </c>
      <c r="B1124" s="9">
        <v>45646</v>
      </c>
      <c r="C1124" s="12" t="s">
        <v>2</v>
      </c>
      <c r="D1124" s="12" t="s">
        <v>3368</v>
      </c>
      <c r="E1124" s="12" t="s">
        <v>2</v>
      </c>
      <c r="F1124" s="12" t="s">
        <v>3369</v>
      </c>
    </row>
    <row x14ac:dyDescent="0.25" r="1125" customHeight="1" ht="18.75" hidden="1">
      <c r="A1125" s="12" t="s">
        <v>3370</v>
      </c>
      <c r="B1125" s="9">
        <v>45646</v>
      </c>
      <c r="C1125" s="12" t="s">
        <v>2</v>
      </c>
      <c r="D1125" s="12" t="s">
        <v>3371</v>
      </c>
      <c r="E1125" s="12" t="s">
        <v>2</v>
      </c>
      <c r="F1125" s="12" t="s">
        <v>3372</v>
      </c>
    </row>
    <row x14ac:dyDescent="0.25" r="1126" customHeight="1" ht="18.75" hidden="1">
      <c r="A1126" s="12" t="s">
        <v>3373</v>
      </c>
      <c r="B1126" s="9">
        <v>45646</v>
      </c>
      <c r="C1126" s="12" t="s">
        <v>3</v>
      </c>
      <c r="D1126" s="12" t="s">
        <v>3374</v>
      </c>
      <c r="E1126" s="12" t="s">
        <v>3</v>
      </c>
      <c r="F1126" s="12" t="s">
        <v>3375</v>
      </c>
    </row>
    <row x14ac:dyDescent="0.25" r="1127" customHeight="1" ht="18.75" hidden="1">
      <c r="A1127" s="12" t="s">
        <v>3376</v>
      </c>
      <c r="B1127" s="9">
        <v>45646</v>
      </c>
      <c r="C1127" s="12" t="s">
        <v>3</v>
      </c>
      <c r="D1127" s="12" t="s">
        <v>3377</v>
      </c>
      <c r="E1127" s="12" t="s">
        <v>3</v>
      </c>
      <c r="F1127" s="12" t="s">
        <v>3378</v>
      </c>
    </row>
    <row x14ac:dyDescent="0.25" r="1128" customHeight="1" ht="18.75" hidden="1">
      <c r="A1128" s="12" t="s">
        <v>3379</v>
      </c>
      <c r="B1128" s="9">
        <v>45646</v>
      </c>
      <c r="C1128" s="12" t="s">
        <v>3</v>
      </c>
      <c r="D1128" s="12" t="s">
        <v>3380</v>
      </c>
      <c r="E1128" s="12" t="s">
        <v>3</v>
      </c>
      <c r="F1128" s="12" t="s">
        <v>3381</v>
      </c>
    </row>
    <row x14ac:dyDescent="0.25" r="1129" customHeight="1" ht="18.75" hidden="1">
      <c r="A1129" s="12" t="s">
        <v>3382</v>
      </c>
      <c r="B1129" s="9">
        <v>45646</v>
      </c>
      <c r="C1129" s="12" t="s">
        <v>2</v>
      </c>
      <c r="D1129" s="12" t="s">
        <v>3383</v>
      </c>
      <c r="E1129" s="12" t="s">
        <v>2</v>
      </c>
      <c r="F1129" s="12" t="s">
        <v>3384</v>
      </c>
    </row>
    <row x14ac:dyDescent="0.25" r="1130" customHeight="1" ht="18.75" hidden="1">
      <c r="A1130" s="12" t="s">
        <v>3385</v>
      </c>
      <c r="B1130" s="9">
        <v>45645</v>
      </c>
      <c r="C1130" s="12" t="s">
        <v>2</v>
      </c>
      <c r="D1130" s="12" t="s">
        <v>3386</v>
      </c>
      <c r="E1130" s="12" t="s">
        <v>2</v>
      </c>
      <c r="F1130" s="12" t="s">
        <v>3387</v>
      </c>
    </row>
    <row x14ac:dyDescent="0.25" r="1131" customHeight="1" ht="18.75">
      <c r="A1131" s="12" t="s">
        <v>3388</v>
      </c>
      <c r="B1131" s="9">
        <v>45645</v>
      </c>
      <c r="C1131" s="12" t="s">
        <v>13</v>
      </c>
      <c r="D1131" s="12" t="s">
        <v>3389</v>
      </c>
      <c r="E1131" s="12" t="s">
        <v>13</v>
      </c>
      <c r="F1131" s="12" t="s">
        <v>3390</v>
      </c>
    </row>
    <row x14ac:dyDescent="0.25" r="1132" customHeight="1" ht="18.75" hidden="1">
      <c r="A1132" s="12" t="s">
        <v>3391</v>
      </c>
      <c r="B1132" s="9">
        <v>45645</v>
      </c>
      <c r="C1132" s="12" t="s">
        <v>2</v>
      </c>
      <c r="D1132" s="12" t="s">
        <v>3392</v>
      </c>
      <c r="E1132" s="12" t="s">
        <v>2</v>
      </c>
      <c r="F1132" s="12" t="s">
        <v>3393</v>
      </c>
    </row>
    <row x14ac:dyDescent="0.25" r="1133" customHeight="1" ht="18.75" hidden="1">
      <c r="A1133" s="12" t="s">
        <v>3394</v>
      </c>
      <c r="B1133" s="9">
        <v>45645</v>
      </c>
      <c r="C1133" s="12" t="s">
        <v>3</v>
      </c>
      <c r="D1133" s="12" t="s">
        <v>3395</v>
      </c>
      <c r="E1133" s="12" t="s">
        <v>2</v>
      </c>
      <c r="F1133" s="12" t="s">
        <v>3396</v>
      </c>
    </row>
    <row x14ac:dyDescent="0.25" r="1134" customHeight="1" ht="18.75" hidden="1">
      <c r="A1134" s="12" t="s">
        <v>3397</v>
      </c>
      <c r="B1134" s="9">
        <v>45645</v>
      </c>
      <c r="C1134" s="12" t="s">
        <v>3</v>
      </c>
      <c r="D1134" s="12" t="s">
        <v>3398</v>
      </c>
      <c r="E1134" s="12" t="s">
        <v>3</v>
      </c>
      <c r="F1134" s="12" t="s">
        <v>3399</v>
      </c>
    </row>
    <row x14ac:dyDescent="0.25" r="1135" customHeight="1" ht="18.75" hidden="1">
      <c r="A1135" s="12" t="s">
        <v>3400</v>
      </c>
      <c r="B1135" s="9">
        <v>45645</v>
      </c>
      <c r="C1135" s="12" t="s">
        <v>3</v>
      </c>
      <c r="D1135" s="12" t="s">
        <v>3401</v>
      </c>
      <c r="E1135" s="12" t="s">
        <v>3</v>
      </c>
      <c r="F1135" s="12" t="s">
        <v>3402</v>
      </c>
    </row>
    <row x14ac:dyDescent="0.25" r="1136" customHeight="1" ht="18.75" hidden="1">
      <c r="A1136" s="12" t="s">
        <v>3403</v>
      </c>
      <c r="B1136" s="9">
        <v>45645</v>
      </c>
      <c r="C1136" s="12" t="s">
        <v>3</v>
      </c>
      <c r="D1136" s="12" t="s">
        <v>3404</v>
      </c>
      <c r="E1136" s="12" t="s">
        <v>3</v>
      </c>
      <c r="F1136" s="12" t="s">
        <v>3405</v>
      </c>
    </row>
    <row x14ac:dyDescent="0.25" r="1137" customHeight="1" ht="18.75" hidden="1">
      <c r="A1137" s="12" t="s">
        <v>3406</v>
      </c>
      <c r="B1137" s="9">
        <v>45644</v>
      </c>
      <c r="C1137" s="12" t="s">
        <v>2</v>
      </c>
      <c r="D1137" s="12" t="s">
        <v>3407</v>
      </c>
      <c r="E1137" s="12" t="s">
        <v>2</v>
      </c>
      <c r="F1137" s="12" t="s">
        <v>3408</v>
      </c>
    </row>
    <row x14ac:dyDescent="0.25" r="1138" customHeight="1" ht="18.75">
      <c r="A1138" s="12" t="s">
        <v>3409</v>
      </c>
      <c r="B1138" s="9">
        <v>45644</v>
      </c>
      <c r="C1138" s="12" t="s">
        <v>101</v>
      </c>
      <c r="D1138" s="12" t="s">
        <v>3410</v>
      </c>
      <c r="E1138" s="12" t="s">
        <v>13</v>
      </c>
      <c r="F1138" s="12" t="s">
        <v>3411</v>
      </c>
    </row>
    <row x14ac:dyDescent="0.25" r="1139" customHeight="1" ht="18.75" hidden="1">
      <c r="A1139" s="12" t="s">
        <v>3412</v>
      </c>
      <c r="B1139" s="9">
        <v>45644</v>
      </c>
      <c r="C1139" s="12" t="s">
        <v>3</v>
      </c>
      <c r="D1139" s="12" t="s">
        <v>3413</v>
      </c>
      <c r="E1139" s="12" t="s">
        <v>3</v>
      </c>
      <c r="F1139" s="12" t="s">
        <v>3414</v>
      </c>
    </row>
    <row x14ac:dyDescent="0.25" r="1140" customHeight="1" ht="18.75" hidden="1">
      <c r="A1140" s="12" t="s">
        <v>3415</v>
      </c>
      <c r="B1140" s="9">
        <v>45643</v>
      </c>
      <c r="C1140" s="12" t="s">
        <v>3</v>
      </c>
      <c r="D1140" s="12" t="s">
        <v>3416</v>
      </c>
      <c r="E1140" s="12" t="s">
        <v>3</v>
      </c>
      <c r="F1140" s="12" t="s">
        <v>3417</v>
      </c>
    </row>
    <row x14ac:dyDescent="0.25" r="1141" customHeight="1" ht="18.75" hidden="1">
      <c r="A1141" s="12" t="s">
        <v>3418</v>
      </c>
      <c r="B1141" s="9">
        <v>45643</v>
      </c>
      <c r="C1141" s="12" t="s">
        <v>3</v>
      </c>
      <c r="D1141" s="12" t="s">
        <v>3419</v>
      </c>
      <c r="E1141" s="12" t="s">
        <v>3</v>
      </c>
      <c r="F1141" s="12" t="s">
        <v>3420</v>
      </c>
    </row>
    <row x14ac:dyDescent="0.25" r="1142" customHeight="1" ht="18.75" hidden="1">
      <c r="A1142" s="12" t="s">
        <v>3421</v>
      </c>
      <c r="B1142" s="9">
        <v>45643</v>
      </c>
      <c r="C1142" s="12" t="s">
        <v>2</v>
      </c>
      <c r="D1142" s="12" t="s">
        <v>3422</v>
      </c>
      <c r="E1142" s="12" t="s">
        <v>2</v>
      </c>
      <c r="F1142" s="12" t="s">
        <v>3423</v>
      </c>
    </row>
    <row x14ac:dyDescent="0.25" r="1143" customHeight="1" ht="18.75" hidden="1">
      <c r="A1143" s="12" t="s">
        <v>3424</v>
      </c>
      <c r="B1143" s="9">
        <v>45642</v>
      </c>
      <c r="C1143" s="12" t="s">
        <v>2</v>
      </c>
      <c r="D1143" s="12" t="s">
        <v>3425</v>
      </c>
      <c r="E1143" s="12" t="s">
        <v>2</v>
      </c>
      <c r="F1143" s="12" t="s">
        <v>3426</v>
      </c>
    </row>
    <row x14ac:dyDescent="0.25" r="1144" customHeight="1" ht="18.75" hidden="1">
      <c r="A1144" s="12" t="s">
        <v>3427</v>
      </c>
      <c r="B1144" s="9">
        <v>45642</v>
      </c>
      <c r="C1144" s="12" t="s">
        <v>3</v>
      </c>
      <c r="D1144" s="12" t="s">
        <v>3428</v>
      </c>
      <c r="E1144" s="12" t="s">
        <v>2</v>
      </c>
      <c r="F1144" s="12" t="s">
        <v>3429</v>
      </c>
    </row>
    <row x14ac:dyDescent="0.25" r="1145" customHeight="1" ht="18.75">
      <c r="A1145" s="12" t="s">
        <v>3430</v>
      </c>
      <c r="B1145" s="9">
        <v>45642</v>
      </c>
      <c r="C1145" s="12" t="s">
        <v>101</v>
      </c>
      <c r="D1145" s="12" t="s">
        <v>3431</v>
      </c>
      <c r="E1145" s="12" t="s">
        <v>13</v>
      </c>
      <c r="F1145" s="12" t="s">
        <v>3432</v>
      </c>
    </row>
    <row x14ac:dyDescent="0.25" r="1146" customHeight="1" ht="18.75" hidden="1">
      <c r="A1146" s="12" t="s">
        <v>3433</v>
      </c>
      <c r="B1146" s="9">
        <v>45642</v>
      </c>
      <c r="C1146" s="12" t="s">
        <v>3</v>
      </c>
      <c r="D1146" s="12" t="s">
        <v>3434</v>
      </c>
      <c r="E1146" s="12" t="s">
        <v>3</v>
      </c>
      <c r="F1146" s="12" t="s">
        <v>3435</v>
      </c>
    </row>
    <row x14ac:dyDescent="0.25" r="1147" customHeight="1" ht="18.75" hidden="1">
      <c r="A1147" s="12" t="s">
        <v>3436</v>
      </c>
      <c r="B1147" s="9">
        <v>45641</v>
      </c>
      <c r="C1147" s="12" t="s">
        <v>3</v>
      </c>
      <c r="D1147" s="12" t="s">
        <v>3437</v>
      </c>
      <c r="E1147" s="12" t="s">
        <v>3</v>
      </c>
      <c r="F1147" s="12" t="s">
        <v>3438</v>
      </c>
    </row>
    <row x14ac:dyDescent="0.25" r="1148" customHeight="1" ht="18.75" hidden="1">
      <c r="A1148" s="12" t="s">
        <v>3439</v>
      </c>
      <c r="B1148" s="9">
        <v>45641</v>
      </c>
      <c r="C1148" s="12" t="s">
        <v>3</v>
      </c>
      <c r="D1148" s="12" t="s">
        <v>3440</v>
      </c>
      <c r="E1148" s="12" t="s">
        <v>3</v>
      </c>
      <c r="F1148" s="12" t="s">
        <v>3441</v>
      </c>
    </row>
    <row x14ac:dyDescent="0.25" r="1149" customHeight="1" ht="18.75" hidden="1">
      <c r="A1149" s="12" t="s">
        <v>3442</v>
      </c>
      <c r="B1149" s="9">
        <v>45640</v>
      </c>
      <c r="C1149" s="12" t="s">
        <v>2</v>
      </c>
      <c r="D1149" s="12" t="s">
        <v>3443</v>
      </c>
      <c r="E1149" s="12" t="s">
        <v>2</v>
      </c>
      <c r="F1149" s="12" t="s">
        <v>3444</v>
      </c>
    </row>
    <row x14ac:dyDescent="0.25" r="1150" customHeight="1" ht="18.75" hidden="1">
      <c r="A1150" s="12" t="s">
        <v>3445</v>
      </c>
      <c r="B1150" s="9">
        <v>45640</v>
      </c>
      <c r="C1150" s="12" t="s">
        <v>2</v>
      </c>
      <c r="D1150" s="12" t="s">
        <v>3446</v>
      </c>
      <c r="E1150" s="12" t="s">
        <v>2</v>
      </c>
      <c r="F1150" s="12" t="s">
        <v>3447</v>
      </c>
    </row>
    <row x14ac:dyDescent="0.25" r="1151" customHeight="1" ht="18.75" hidden="1">
      <c r="A1151" s="12" t="s">
        <v>3448</v>
      </c>
      <c r="B1151" s="9">
        <v>45639</v>
      </c>
      <c r="C1151" s="12" t="s">
        <v>2</v>
      </c>
      <c r="D1151" s="12" t="s">
        <v>3449</v>
      </c>
      <c r="E1151" s="12" t="s">
        <v>2</v>
      </c>
      <c r="F1151" s="12" t="s">
        <v>3450</v>
      </c>
    </row>
    <row x14ac:dyDescent="0.25" r="1152" customHeight="1" ht="18.75" hidden="1">
      <c r="A1152" s="12" t="s">
        <v>3451</v>
      </c>
      <c r="B1152" s="9">
        <v>45639</v>
      </c>
      <c r="C1152" s="12" t="s">
        <v>3</v>
      </c>
      <c r="D1152" s="12" t="s">
        <v>3452</v>
      </c>
      <c r="E1152" s="12" t="s">
        <v>3</v>
      </c>
      <c r="F1152" s="12" t="s">
        <v>3453</v>
      </c>
    </row>
    <row x14ac:dyDescent="0.25" r="1153" customHeight="1" ht="18.75" hidden="1">
      <c r="A1153" s="12" t="s">
        <v>3454</v>
      </c>
      <c r="B1153" s="9">
        <v>45639</v>
      </c>
      <c r="C1153" s="12" t="s">
        <v>2</v>
      </c>
      <c r="D1153" s="12" t="s">
        <v>3455</v>
      </c>
      <c r="E1153" s="12" t="s">
        <v>2</v>
      </c>
      <c r="F1153" s="12" t="s">
        <v>3456</v>
      </c>
    </row>
    <row x14ac:dyDescent="0.25" r="1154" customHeight="1" ht="18.75">
      <c r="A1154" s="12" t="s">
        <v>3457</v>
      </c>
      <c r="B1154" s="9">
        <v>45639</v>
      </c>
      <c r="C1154" s="12" t="s">
        <v>13</v>
      </c>
      <c r="D1154" s="12" t="s">
        <v>3458</v>
      </c>
      <c r="E1154" s="12" t="s">
        <v>13</v>
      </c>
      <c r="F1154" s="12" t="s">
        <v>3459</v>
      </c>
    </row>
    <row x14ac:dyDescent="0.25" r="1155" customHeight="1" ht="18.75" hidden="1">
      <c r="A1155" s="12" t="s">
        <v>3460</v>
      </c>
      <c r="B1155" s="9">
        <v>45639</v>
      </c>
      <c r="C1155" s="12" t="s">
        <v>2</v>
      </c>
      <c r="D1155" s="12" t="s">
        <v>3461</v>
      </c>
      <c r="E1155" s="12" t="s">
        <v>2</v>
      </c>
      <c r="F1155" s="12" t="s">
        <v>3462</v>
      </c>
    </row>
    <row x14ac:dyDescent="0.25" r="1156" customHeight="1" ht="18.75" hidden="1">
      <c r="A1156" s="12" t="s">
        <v>3463</v>
      </c>
      <c r="B1156" s="9">
        <v>45637</v>
      </c>
      <c r="C1156" s="12" t="s">
        <v>3</v>
      </c>
      <c r="D1156" s="12" t="s">
        <v>3464</v>
      </c>
      <c r="E1156" s="12" t="s">
        <v>3</v>
      </c>
      <c r="F1156" s="12" t="s">
        <v>3465</v>
      </c>
    </row>
    <row x14ac:dyDescent="0.25" r="1157" customHeight="1" ht="18.75">
      <c r="A1157" s="12" t="s">
        <v>3466</v>
      </c>
      <c r="B1157" s="9">
        <v>45637</v>
      </c>
      <c r="C1157" s="12" t="s">
        <v>13</v>
      </c>
      <c r="D1157" s="12" t="s">
        <v>3467</v>
      </c>
      <c r="E1157" s="12" t="s">
        <v>13</v>
      </c>
      <c r="F1157" s="12" t="s">
        <v>3468</v>
      </c>
    </row>
    <row x14ac:dyDescent="0.25" r="1158" customHeight="1" ht="18.75">
      <c r="A1158" s="12" t="s">
        <v>3469</v>
      </c>
      <c r="B1158" s="9">
        <v>45637</v>
      </c>
      <c r="C1158" s="12" t="s">
        <v>13</v>
      </c>
      <c r="D1158" s="12" t="s">
        <v>3470</v>
      </c>
      <c r="E1158" s="12" t="s">
        <v>13</v>
      </c>
      <c r="F1158" s="12" t="s">
        <v>3471</v>
      </c>
    </row>
    <row x14ac:dyDescent="0.25" r="1159" customHeight="1" ht="18.75">
      <c r="A1159" s="12" t="s">
        <v>3472</v>
      </c>
      <c r="B1159" s="9">
        <v>45637</v>
      </c>
      <c r="C1159" s="12" t="s">
        <v>13</v>
      </c>
      <c r="D1159" s="12" t="s">
        <v>3473</v>
      </c>
      <c r="E1159" s="12" t="s">
        <v>13</v>
      </c>
      <c r="F1159" s="12" t="s">
        <v>3474</v>
      </c>
    </row>
    <row x14ac:dyDescent="0.25" r="1160" customHeight="1" ht="18.75" hidden="1">
      <c r="A1160" s="12" t="s">
        <v>3475</v>
      </c>
      <c r="B1160" s="9">
        <v>45636</v>
      </c>
      <c r="C1160" s="12" t="s">
        <v>2</v>
      </c>
      <c r="D1160" s="12" t="s">
        <v>3476</v>
      </c>
      <c r="E1160" s="12" t="s">
        <v>2</v>
      </c>
      <c r="F1160" s="12" t="s">
        <v>3477</v>
      </c>
    </row>
    <row x14ac:dyDescent="0.25" r="1161" customHeight="1" ht="18.75" hidden="1">
      <c r="A1161" s="12" t="s">
        <v>3478</v>
      </c>
      <c r="B1161" s="9">
        <v>45635</v>
      </c>
      <c r="C1161" s="12" t="s">
        <v>3</v>
      </c>
      <c r="D1161" s="12" t="s">
        <v>3479</v>
      </c>
      <c r="E1161" s="12" t="s">
        <v>3</v>
      </c>
      <c r="F1161" s="12" t="s">
        <v>3480</v>
      </c>
    </row>
    <row x14ac:dyDescent="0.25" r="1162" customHeight="1" ht="18.75" hidden="1">
      <c r="A1162" s="12" t="s">
        <v>3481</v>
      </c>
      <c r="B1162" s="9">
        <v>45634</v>
      </c>
      <c r="C1162" s="12" t="s">
        <v>3</v>
      </c>
      <c r="D1162" s="12" t="s">
        <v>3482</v>
      </c>
      <c r="E1162" s="12" t="s">
        <v>3</v>
      </c>
      <c r="F1162" s="12" t="s">
        <v>3483</v>
      </c>
    </row>
    <row x14ac:dyDescent="0.25" r="1163" customHeight="1" ht="18.75" hidden="1">
      <c r="A1163" s="12" t="s">
        <v>3484</v>
      </c>
      <c r="B1163" s="9">
        <v>45632</v>
      </c>
      <c r="C1163" s="12" t="s">
        <v>3</v>
      </c>
      <c r="D1163" s="12" t="s">
        <v>3485</v>
      </c>
      <c r="E1163" s="12" t="s">
        <v>3</v>
      </c>
      <c r="F1163" s="12" t="s">
        <v>3486</v>
      </c>
    </row>
    <row x14ac:dyDescent="0.25" r="1164" customHeight="1" ht="18.75" hidden="1">
      <c r="A1164" s="12" t="s">
        <v>3487</v>
      </c>
      <c r="B1164" s="9">
        <v>45632</v>
      </c>
      <c r="C1164" s="12" t="s">
        <v>3</v>
      </c>
      <c r="D1164" s="12" t="s">
        <v>3488</v>
      </c>
      <c r="E1164" s="12" t="s">
        <v>3</v>
      </c>
      <c r="F1164" s="12" t="s">
        <v>3489</v>
      </c>
    </row>
    <row x14ac:dyDescent="0.25" r="1165" customHeight="1" ht="18.75">
      <c r="A1165" s="12" t="s">
        <v>3490</v>
      </c>
      <c r="B1165" s="9">
        <v>45632</v>
      </c>
      <c r="C1165" s="12" t="s">
        <v>13</v>
      </c>
      <c r="D1165" s="12" t="s">
        <v>3491</v>
      </c>
      <c r="E1165" s="12" t="s">
        <v>13</v>
      </c>
      <c r="F1165" s="12" t="s">
        <v>3492</v>
      </c>
    </row>
    <row x14ac:dyDescent="0.25" r="1166" customHeight="1" ht="18.75" hidden="1">
      <c r="A1166" s="12" t="s">
        <v>3493</v>
      </c>
      <c r="B1166" s="9">
        <v>45632</v>
      </c>
      <c r="C1166" s="12" t="s">
        <v>2</v>
      </c>
      <c r="D1166" s="12" t="s">
        <v>3494</v>
      </c>
      <c r="E1166" s="12" t="s">
        <v>2</v>
      </c>
      <c r="F1166" s="12" t="s">
        <v>3495</v>
      </c>
    </row>
    <row x14ac:dyDescent="0.25" r="1167" customHeight="1" ht="18.75" hidden="1">
      <c r="A1167" s="12" t="s">
        <v>3496</v>
      </c>
      <c r="B1167" s="9">
        <v>45632</v>
      </c>
      <c r="C1167" s="12" t="s">
        <v>2</v>
      </c>
      <c r="D1167" s="12" t="s">
        <v>3497</v>
      </c>
      <c r="E1167" s="12" t="s">
        <v>2</v>
      </c>
      <c r="F1167" s="12" t="s">
        <v>3498</v>
      </c>
    </row>
    <row x14ac:dyDescent="0.25" r="1168" customHeight="1" ht="18.75" hidden="1">
      <c r="A1168" s="12" t="s">
        <v>3499</v>
      </c>
      <c r="B1168" s="9">
        <v>45631</v>
      </c>
      <c r="C1168" s="12" t="s">
        <v>3</v>
      </c>
      <c r="D1168" s="12" t="s">
        <v>3500</v>
      </c>
      <c r="E1168" s="12" t="s">
        <v>3</v>
      </c>
      <c r="F1168" s="12" t="s">
        <v>3501</v>
      </c>
    </row>
    <row x14ac:dyDescent="0.25" r="1169" customHeight="1" ht="18.75" hidden="1">
      <c r="A1169" s="12" t="s">
        <v>3502</v>
      </c>
      <c r="B1169" s="9">
        <v>45631</v>
      </c>
      <c r="C1169" s="12" t="s">
        <v>3</v>
      </c>
      <c r="D1169" s="12" t="s">
        <v>3503</v>
      </c>
      <c r="E1169" s="12" t="s">
        <v>3</v>
      </c>
      <c r="F1169" s="12" t="s">
        <v>3504</v>
      </c>
    </row>
    <row x14ac:dyDescent="0.25" r="1170" customHeight="1" ht="18.75" hidden="1">
      <c r="A1170" s="12" t="s">
        <v>3505</v>
      </c>
      <c r="B1170" s="9">
        <v>45630</v>
      </c>
      <c r="C1170" s="12" t="s">
        <v>3</v>
      </c>
      <c r="D1170" s="12" t="s">
        <v>3506</v>
      </c>
      <c r="E1170" s="12" t="s">
        <v>3</v>
      </c>
      <c r="F1170" s="12" t="s">
        <v>3507</v>
      </c>
    </row>
    <row x14ac:dyDescent="0.25" r="1171" customHeight="1" ht="18.75" hidden="1">
      <c r="A1171" s="12" t="s">
        <v>3508</v>
      </c>
      <c r="B1171" s="9">
        <v>45630</v>
      </c>
      <c r="C1171" s="12" t="s">
        <v>2</v>
      </c>
      <c r="D1171" s="12" t="s">
        <v>3509</v>
      </c>
      <c r="E1171" s="12" t="s">
        <v>2</v>
      </c>
      <c r="F1171" s="12" t="s">
        <v>3510</v>
      </c>
    </row>
    <row x14ac:dyDescent="0.25" r="1172" customHeight="1" ht="18.75" hidden="1">
      <c r="A1172" s="12" t="s">
        <v>3511</v>
      </c>
      <c r="B1172" s="9">
        <v>45630</v>
      </c>
      <c r="C1172" s="12" t="s">
        <v>2</v>
      </c>
      <c r="D1172" s="12" t="s">
        <v>3512</v>
      </c>
      <c r="E1172" s="12" t="s">
        <v>2</v>
      </c>
      <c r="F1172" s="12" t="s">
        <v>3513</v>
      </c>
    </row>
    <row x14ac:dyDescent="0.25" r="1173" customHeight="1" ht="18.75" hidden="1">
      <c r="A1173" s="12" t="s">
        <v>3514</v>
      </c>
      <c r="B1173" s="9">
        <v>45629</v>
      </c>
      <c r="C1173" s="12" t="s">
        <v>2</v>
      </c>
      <c r="D1173" s="12" t="s">
        <v>3515</v>
      </c>
      <c r="E1173" s="12" t="s">
        <v>2</v>
      </c>
      <c r="F1173" s="12" t="s">
        <v>3516</v>
      </c>
    </row>
    <row x14ac:dyDescent="0.25" r="1174" customHeight="1" ht="18.75">
      <c r="A1174" s="12" t="s">
        <v>3517</v>
      </c>
      <c r="B1174" s="9">
        <v>45629</v>
      </c>
      <c r="C1174" s="12" t="s">
        <v>101</v>
      </c>
      <c r="D1174" s="12" t="s">
        <v>3518</v>
      </c>
      <c r="E1174" s="12" t="s">
        <v>13</v>
      </c>
      <c r="F1174" s="12" t="s">
        <v>3519</v>
      </c>
    </row>
    <row x14ac:dyDescent="0.25" r="1175" customHeight="1" ht="18.75" hidden="1">
      <c r="A1175" s="12" t="s">
        <v>3520</v>
      </c>
      <c r="B1175" s="9">
        <v>45629</v>
      </c>
      <c r="C1175" s="12" t="s">
        <v>2</v>
      </c>
      <c r="D1175" s="12" t="s">
        <v>3521</v>
      </c>
      <c r="E1175" s="12" t="s">
        <v>2</v>
      </c>
      <c r="F1175" s="12" t="s">
        <v>3522</v>
      </c>
    </row>
    <row x14ac:dyDescent="0.25" r="1176" customHeight="1" ht="18.75" hidden="1">
      <c r="A1176" s="12" t="s">
        <v>3523</v>
      </c>
      <c r="B1176" s="9">
        <v>45629</v>
      </c>
      <c r="C1176" s="12" t="s">
        <v>2</v>
      </c>
      <c r="D1176" s="12" t="s">
        <v>3524</v>
      </c>
      <c r="E1176" s="12" t="s">
        <v>2</v>
      </c>
      <c r="F1176" s="12" t="s">
        <v>3525</v>
      </c>
    </row>
    <row x14ac:dyDescent="0.25" r="1177" customHeight="1" ht="18.75" hidden="1">
      <c r="A1177" s="12" t="s">
        <v>3526</v>
      </c>
      <c r="B1177" s="9">
        <v>45628</v>
      </c>
      <c r="C1177" s="12" t="s">
        <v>3</v>
      </c>
      <c r="D1177" s="12" t="s">
        <v>3527</v>
      </c>
      <c r="E1177" s="12" t="s">
        <v>3</v>
      </c>
      <c r="F1177" s="12" t="s">
        <v>3528</v>
      </c>
    </row>
    <row x14ac:dyDescent="0.25" r="1178" customHeight="1" ht="18.75" hidden="1">
      <c r="A1178" s="12" t="s">
        <v>3529</v>
      </c>
      <c r="B1178" s="9">
        <v>45628</v>
      </c>
      <c r="C1178" s="12" t="s">
        <v>2</v>
      </c>
      <c r="D1178" s="12" t="s">
        <v>3530</v>
      </c>
      <c r="E1178" s="12" t="s">
        <v>3</v>
      </c>
      <c r="F1178" s="12" t="s">
        <v>3531</v>
      </c>
    </row>
    <row x14ac:dyDescent="0.25" r="1179" customHeight="1" ht="18.75" hidden="1">
      <c r="A1179" s="12" t="s">
        <v>3532</v>
      </c>
      <c r="B1179" s="9">
        <v>45628</v>
      </c>
      <c r="C1179" s="12" t="s">
        <v>2</v>
      </c>
      <c r="D1179" s="12" t="s">
        <v>3533</v>
      </c>
      <c r="E1179" s="12" t="s">
        <v>2</v>
      </c>
      <c r="F1179" s="12" t="s">
        <v>3534</v>
      </c>
    </row>
    <row x14ac:dyDescent="0.25" r="1180" customHeight="1" ht="18.75">
      <c r="A1180" s="12" t="s">
        <v>3535</v>
      </c>
      <c r="B1180" s="9">
        <v>45627</v>
      </c>
      <c r="C1180" s="12" t="s">
        <v>101</v>
      </c>
      <c r="D1180" s="12" t="s">
        <v>3536</v>
      </c>
      <c r="E1180" s="12" t="s">
        <v>13</v>
      </c>
      <c r="F1180" s="12" t="s">
        <v>3537</v>
      </c>
    </row>
    <row x14ac:dyDescent="0.25" r="1181" customHeight="1" ht="18.75" hidden="1">
      <c r="A1181" s="12" t="s">
        <v>3538</v>
      </c>
      <c r="B1181" s="9">
        <v>45626</v>
      </c>
      <c r="C1181" s="12" t="s">
        <v>3</v>
      </c>
      <c r="D1181" s="12" t="s">
        <v>3539</v>
      </c>
      <c r="E1181" s="12" t="s">
        <v>3</v>
      </c>
      <c r="F1181" s="12" t="s">
        <v>3540</v>
      </c>
    </row>
    <row x14ac:dyDescent="0.25" r="1182" customHeight="1" ht="18.75" hidden="1">
      <c r="A1182" s="12" t="s">
        <v>3541</v>
      </c>
      <c r="B1182" s="9">
        <v>45625</v>
      </c>
      <c r="C1182" s="12" t="s">
        <v>3</v>
      </c>
      <c r="D1182" s="12" t="s">
        <v>3542</v>
      </c>
      <c r="E1182" s="12" t="s">
        <v>3</v>
      </c>
      <c r="F1182" s="12" t="s">
        <v>3543</v>
      </c>
    </row>
    <row x14ac:dyDescent="0.25" r="1183" customHeight="1" ht="18.75">
      <c r="A1183" s="12" t="s">
        <v>3544</v>
      </c>
      <c r="B1183" s="9">
        <v>45624</v>
      </c>
      <c r="C1183" s="12" t="s">
        <v>13</v>
      </c>
      <c r="D1183" s="12" t="s">
        <v>3545</v>
      </c>
      <c r="E1183" s="12" t="s">
        <v>13</v>
      </c>
      <c r="F1183" s="12" t="s">
        <v>3546</v>
      </c>
    </row>
    <row x14ac:dyDescent="0.25" r="1184" customHeight="1" ht="18.75" hidden="1">
      <c r="A1184" s="12" t="s">
        <v>3547</v>
      </c>
      <c r="B1184" s="9">
        <v>45624</v>
      </c>
      <c r="C1184" s="12" t="s">
        <v>2</v>
      </c>
      <c r="D1184" s="12" t="s">
        <v>3548</v>
      </c>
      <c r="E1184" s="12" t="s">
        <v>2</v>
      </c>
      <c r="F1184" s="12" t="s">
        <v>3549</v>
      </c>
    </row>
    <row x14ac:dyDescent="0.25" r="1185" customHeight="1" ht="18.75">
      <c r="A1185" s="12" t="s">
        <v>3550</v>
      </c>
      <c r="B1185" s="9">
        <v>45623</v>
      </c>
      <c r="C1185" s="12" t="s">
        <v>101</v>
      </c>
      <c r="D1185" s="12" t="s">
        <v>3551</v>
      </c>
      <c r="E1185" s="12" t="s">
        <v>4</v>
      </c>
      <c r="F1185" s="12" t="s">
        <v>3552</v>
      </c>
    </row>
    <row x14ac:dyDescent="0.25" r="1186" customHeight="1" ht="18.75" hidden="1">
      <c r="A1186" s="12" t="s">
        <v>3553</v>
      </c>
      <c r="B1186" s="9">
        <v>45623</v>
      </c>
      <c r="C1186" s="12" t="s">
        <v>3</v>
      </c>
      <c r="D1186" s="12" t="s">
        <v>3554</v>
      </c>
      <c r="E1186" s="12" t="s">
        <v>3</v>
      </c>
      <c r="F1186" s="12" t="s">
        <v>3555</v>
      </c>
    </row>
    <row x14ac:dyDescent="0.25" r="1187" customHeight="1" ht="18.75" hidden="1">
      <c r="A1187" s="12" t="s">
        <v>3556</v>
      </c>
      <c r="B1187" s="9">
        <v>45623</v>
      </c>
      <c r="C1187" s="12" t="s">
        <v>3</v>
      </c>
      <c r="D1187" s="12" t="s">
        <v>3557</v>
      </c>
      <c r="E1187" s="12" t="s">
        <v>3</v>
      </c>
      <c r="F1187" s="12" t="s">
        <v>3558</v>
      </c>
    </row>
    <row x14ac:dyDescent="0.25" r="1188" customHeight="1" ht="18.75" hidden="1">
      <c r="A1188" s="12" t="s">
        <v>3559</v>
      </c>
      <c r="B1188" s="9">
        <v>45623</v>
      </c>
      <c r="C1188" s="12" t="s">
        <v>3</v>
      </c>
      <c r="D1188" s="12" t="s">
        <v>3560</v>
      </c>
      <c r="E1188" s="12" t="s">
        <v>3</v>
      </c>
      <c r="F1188" s="12" t="s">
        <v>3561</v>
      </c>
    </row>
    <row x14ac:dyDescent="0.25" r="1189" customHeight="1" ht="18.75" hidden="1">
      <c r="A1189" s="12" t="s">
        <v>3562</v>
      </c>
      <c r="B1189" s="9">
        <v>45623</v>
      </c>
      <c r="C1189" s="12" t="s">
        <v>3</v>
      </c>
      <c r="D1189" s="12" t="s">
        <v>3563</v>
      </c>
      <c r="E1189" s="12" t="s">
        <v>3</v>
      </c>
      <c r="F1189" s="12" t="s">
        <v>3564</v>
      </c>
    </row>
    <row x14ac:dyDescent="0.25" r="1190" customHeight="1" ht="18.75">
      <c r="A1190" s="12" t="s">
        <v>3565</v>
      </c>
      <c r="B1190" s="9">
        <v>45622</v>
      </c>
      <c r="C1190" s="12" t="s">
        <v>101</v>
      </c>
      <c r="D1190" s="12" t="s">
        <v>3566</v>
      </c>
      <c r="E1190" s="12" t="s">
        <v>13</v>
      </c>
      <c r="F1190" s="12" t="s">
        <v>3567</v>
      </c>
    </row>
    <row x14ac:dyDescent="0.25" r="1191" customHeight="1" ht="18.75" hidden="1">
      <c r="A1191" s="12" t="s">
        <v>3568</v>
      </c>
      <c r="B1191" s="9">
        <v>45622</v>
      </c>
      <c r="C1191" s="12" t="s">
        <v>2</v>
      </c>
      <c r="D1191" s="12" t="s">
        <v>3569</v>
      </c>
      <c r="E1191" s="12" t="s">
        <v>2</v>
      </c>
      <c r="F1191" s="12" t="s">
        <v>3570</v>
      </c>
    </row>
    <row x14ac:dyDescent="0.25" r="1192" customHeight="1" ht="18.75">
      <c r="A1192" s="12" t="s">
        <v>3571</v>
      </c>
      <c r="B1192" s="9">
        <v>45622</v>
      </c>
      <c r="C1192" s="12" t="s">
        <v>101</v>
      </c>
      <c r="D1192" s="12" t="s">
        <v>3572</v>
      </c>
      <c r="E1192" s="12" t="s">
        <v>13</v>
      </c>
      <c r="F1192" s="12" t="s">
        <v>3573</v>
      </c>
    </row>
    <row x14ac:dyDescent="0.25" r="1193" customHeight="1" ht="18.75" hidden="1">
      <c r="A1193" s="12" t="s">
        <v>3574</v>
      </c>
      <c r="B1193" s="9">
        <v>45621</v>
      </c>
      <c r="C1193" s="12" t="s">
        <v>2</v>
      </c>
      <c r="D1193" s="12" t="s">
        <v>3575</v>
      </c>
      <c r="E1193" s="12" t="s">
        <v>2</v>
      </c>
      <c r="F1193" s="12" t="s">
        <v>3576</v>
      </c>
    </row>
    <row x14ac:dyDescent="0.25" r="1194" customHeight="1" ht="18.75" hidden="1">
      <c r="A1194" s="12" t="s">
        <v>3577</v>
      </c>
      <c r="B1194" s="9">
        <v>45621</v>
      </c>
      <c r="C1194" s="12" t="s">
        <v>3</v>
      </c>
      <c r="D1194" s="12" t="s">
        <v>3578</v>
      </c>
      <c r="E1194" s="12" t="s">
        <v>3</v>
      </c>
      <c r="F1194" s="12" t="s">
        <v>3579</v>
      </c>
    </row>
    <row x14ac:dyDescent="0.25" r="1195" customHeight="1" ht="18.75" hidden="1">
      <c r="A1195" s="12" t="s">
        <v>3580</v>
      </c>
      <c r="B1195" s="9">
        <v>45620</v>
      </c>
      <c r="C1195" s="12" t="s">
        <v>2</v>
      </c>
      <c r="D1195" s="12" t="s">
        <v>3581</v>
      </c>
      <c r="E1195" s="12" t="s">
        <v>2</v>
      </c>
      <c r="F1195" s="12" t="s">
        <v>3582</v>
      </c>
    </row>
    <row x14ac:dyDescent="0.25" r="1196" customHeight="1" ht="18.75" hidden="1">
      <c r="A1196" s="12" t="s">
        <v>3583</v>
      </c>
      <c r="B1196" s="9">
        <v>45618</v>
      </c>
      <c r="C1196" s="12" t="s">
        <v>2</v>
      </c>
      <c r="D1196" s="12" t="s">
        <v>3584</v>
      </c>
      <c r="E1196" s="12" t="s">
        <v>2</v>
      </c>
      <c r="F1196" s="12" t="s">
        <v>3585</v>
      </c>
    </row>
    <row x14ac:dyDescent="0.25" r="1197" customHeight="1" ht="18.75">
      <c r="A1197" s="12" t="s">
        <v>3586</v>
      </c>
      <c r="B1197" s="9">
        <v>45618</v>
      </c>
      <c r="C1197" s="12" t="s">
        <v>13</v>
      </c>
      <c r="D1197" s="12" t="s">
        <v>3587</v>
      </c>
      <c r="E1197" s="12" t="s">
        <v>13</v>
      </c>
      <c r="F1197" s="12" t="s">
        <v>3588</v>
      </c>
    </row>
    <row x14ac:dyDescent="0.25" r="1198" customHeight="1" ht="18.75" hidden="1">
      <c r="A1198" s="12" t="s">
        <v>3589</v>
      </c>
      <c r="B1198" s="9">
        <v>45618</v>
      </c>
      <c r="C1198" s="12" t="s">
        <v>2</v>
      </c>
      <c r="D1198" s="12" t="s">
        <v>3590</v>
      </c>
      <c r="E1198" s="12" t="s">
        <v>2</v>
      </c>
      <c r="F1198" s="12" t="s">
        <v>3591</v>
      </c>
    </row>
    <row x14ac:dyDescent="0.25" r="1199" customHeight="1" ht="18.75" hidden="1">
      <c r="A1199" s="12" t="s">
        <v>3592</v>
      </c>
      <c r="B1199" s="9">
        <v>45618</v>
      </c>
      <c r="C1199" s="12" t="s">
        <v>2</v>
      </c>
      <c r="D1199" s="12" t="s">
        <v>3593</v>
      </c>
      <c r="E1199" s="12" t="s">
        <v>2</v>
      </c>
      <c r="F1199" s="12" t="s">
        <v>3594</v>
      </c>
    </row>
    <row x14ac:dyDescent="0.25" r="1200" customHeight="1" ht="18.75" hidden="1">
      <c r="A1200" s="12" t="s">
        <v>3595</v>
      </c>
      <c r="B1200" s="9">
        <v>45617</v>
      </c>
      <c r="C1200" s="12" t="s">
        <v>3</v>
      </c>
      <c r="D1200" s="12" t="s">
        <v>3596</v>
      </c>
      <c r="E1200" s="12" t="s">
        <v>3</v>
      </c>
      <c r="F1200" s="12" t="s">
        <v>3597</v>
      </c>
    </row>
    <row x14ac:dyDescent="0.25" r="1201" customHeight="1" ht="18.75" hidden="1">
      <c r="A1201" s="12" t="s">
        <v>3598</v>
      </c>
      <c r="B1201" s="9">
        <v>45617</v>
      </c>
      <c r="C1201" s="12" t="s">
        <v>2</v>
      </c>
      <c r="D1201" s="12" t="s">
        <v>3599</v>
      </c>
      <c r="E1201" s="12" t="s">
        <v>2</v>
      </c>
      <c r="F1201" s="12" t="s">
        <v>3600</v>
      </c>
    </row>
    <row x14ac:dyDescent="0.25" r="1202" customHeight="1" ht="18.75" hidden="1">
      <c r="A1202" s="12" t="s">
        <v>3601</v>
      </c>
      <c r="B1202" s="9">
        <v>45617</v>
      </c>
      <c r="C1202" s="12" t="s">
        <v>2</v>
      </c>
      <c r="D1202" s="12" t="s">
        <v>3602</v>
      </c>
      <c r="E1202" s="12" t="s">
        <v>2</v>
      </c>
      <c r="F1202" s="12" t="s">
        <v>3603</v>
      </c>
    </row>
    <row x14ac:dyDescent="0.25" r="1203" customHeight="1" ht="18.75" hidden="1">
      <c r="A1203" s="12" t="s">
        <v>3604</v>
      </c>
      <c r="B1203" s="9">
        <v>45617</v>
      </c>
      <c r="C1203" s="12" t="s">
        <v>2</v>
      </c>
      <c r="D1203" s="12" t="s">
        <v>3605</v>
      </c>
      <c r="E1203" s="12" t="s">
        <v>2</v>
      </c>
      <c r="F1203" s="12" t="s">
        <v>3606</v>
      </c>
    </row>
    <row x14ac:dyDescent="0.25" r="1204" customHeight="1" ht="18.75" hidden="1">
      <c r="A1204" s="12" t="s">
        <v>3607</v>
      </c>
      <c r="B1204" s="9">
        <v>45617</v>
      </c>
      <c r="C1204" s="12" t="s">
        <v>2</v>
      </c>
      <c r="D1204" s="12" t="s">
        <v>3608</v>
      </c>
      <c r="E1204" s="12" t="s">
        <v>3</v>
      </c>
      <c r="F1204" s="12" t="s">
        <v>3609</v>
      </c>
    </row>
    <row x14ac:dyDescent="0.25" r="1205" customHeight="1" ht="18.75" hidden="1">
      <c r="A1205" s="12" t="s">
        <v>3610</v>
      </c>
      <c r="B1205" s="9">
        <v>45616</v>
      </c>
      <c r="C1205" s="12" t="s">
        <v>2</v>
      </c>
      <c r="D1205" s="12" t="s">
        <v>3611</v>
      </c>
      <c r="E1205" s="12" t="s">
        <v>2</v>
      </c>
      <c r="F1205" s="12" t="s">
        <v>3612</v>
      </c>
    </row>
    <row x14ac:dyDescent="0.25" r="1206" customHeight="1" ht="18.75" hidden="1">
      <c r="A1206" s="12" t="s">
        <v>3613</v>
      </c>
      <c r="B1206" s="9">
        <v>45616</v>
      </c>
      <c r="C1206" s="12" t="s">
        <v>3</v>
      </c>
      <c r="D1206" s="12" t="s">
        <v>3614</v>
      </c>
      <c r="E1206" s="12" t="s">
        <v>3</v>
      </c>
      <c r="F1206" s="12" t="s">
        <v>3615</v>
      </c>
    </row>
    <row x14ac:dyDescent="0.25" r="1207" customHeight="1" ht="18.75" hidden="1">
      <c r="A1207" s="12" t="s">
        <v>3616</v>
      </c>
      <c r="B1207" s="9">
        <v>45616</v>
      </c>
      <c r="C1207" s="12" t="s">
        <v>101</v>
      </c>
      <c r="D1207" s="12" t="s">
        <v>3617</v>
      </c>
      <c r="E1207" s="12" t="s">
        <v>3</v>
      </c>
      <c r="F1207" s="12" t="s">
        <v>3618</v>
      </c>
    </row>
    <row x14ac:dyDescent="0.25" r="1208" customHeight="1" ht="18.75" hidden="1">
      <c r="A1208" s="12" t="s">
        <v>3619</v>
      </c>
      <c r="B1208" s="9">
        <v>45616</v>
      </c>
      <c r="C1208" s="12" t="s">
        <v>2</v>
      </c>
      <c r="D1208" s="12" t="s">
        <v>3620</v>
      </c>
      <c r="E1208" s="12" t="s">
        <v>2</v>
      </c>
      <c r="F1208" s="12" t="s">
        <v>3621</v>
      </c>
    </row>
    <row x14ac:dyDescent="0.25" r="1209" customHeight="1" ht="18.75" hidden="1">
      <c r="A1209" s="12" t="s">
        <v>3622</v>
      </c>
      <c r="B1209" s="9">
        <v>45615</v>
      </c>
      <c r="C1209" s="12" t="s">
        <v>3</v>
      </c>
      <c r="D1209" s="12" t="s">
        <v>3623</v>
      </c>
      <c r="E1209" s="12" t="s">
        <v>3</v>
      </c>
      <c r="F1209" s="12" t="s">
        <v>3624</v>
      </c>
    </row>
    <row x14ac:dyDescent="0.25" r="1210" customHeight="1" ht="18.75" hidden="1">
      <c r="A1210" s="12" t="s">
        <v>3625</v>
      </c>
      <c r="B1210" s="9">
        <v>45615</v>
      </c>
      <c r="C1210" s="12" t="s">
        <v>3</v>
      </c>
      <c r="D1210" s="12" t="s">
        <v>3626</v>
      </c>
      <c r="E1210" s="12" t="s">
        <v>2</v>
      </c>
      <c r="F1210" s="12" t="s">
        <v>3627</v>
      </c>
    </row>
    <row x14ac:dyDescent="0.25" r="1211" customHeight="1" ht="18.75">
      <c r="A1211" s="12" t="s">
        <v>3628</v>
      </c>
      <c r="B1211" s="9">
        <v>45615</v>
      </c>
      <c r="C1211" s="12" t="s">
        <v>101</v>
      </c>
      <c r="D1211" s="12" t="s">
        <v>3629</v>
      </c>
      <c r="E1211" s="12" t="s">
        <v>13</v>
      </c>
      <c r="F1211" s="12" t="s">
        <v>3630</v>
      </c>
    </row>
    <row x14ac:dyDescent="0.25" r="1212" customHeight="1" ht="18.75" hidden="1">
      <c r="A1212" s="12" t="s">
        <v>3631</v>
      </c>
      <c r="B1212" s="9">
        <v>45612</v>
      </c>
      <c r="C1212" s="12" t="s">
        <v>2</v>
      </c>
      <c r="D1212" s="12" t="s">
        <v>3632</v>
      </c>
      <c r="E1212" s="12" t="s">
        <v>2</v>
      </c>
      <c r="F1212" s="12" t="s">
        <v>3633</v>
      </c>
    </row>
    <row x14ac:dyDescent="0.25" r="1213" customHeight="1" ht="18.75" hidden="1">
      <c r="A1213" s="12" t="s">
        <v>3634</v>
      </c>
      <c r="B1213" s="9">
        <v>45612</v>
      </c>
      <c r="C1213" s="12" t="s">
        <v>2</v>
      </c>
      <c r="D1213" s="12" t="s">
        <v>3635</v>
      </c>
      <c r="E1213" s="12" t="s">
        <v>2</v>
      </c>
      <c r="F1213" s="12" t="s">
        <v>3636</v>
      </c>
    </row>
    <row x14ac:dyDescent="0.25" r="1214" customHeight="1" ht="18.75" hidden="1">
      <c r="A1214" s="12" t="s">
        <v>3637</v>
      </c>
      <c r="B1214" s="9">
        <v>45611</v>
      </c>
      <c r="C1214" s="12" t="s">
        <v>3</v>
      </c>
      <c r="D1214" s="12" t="s">
        <v>3638</v>
      </c>
      <c r="E1214" s="12" t="s">
        <v>3</v>
      </c>
      <c r="F1214" s="12" t="s">
        <v>3639</v>
      </c>
    </row>
    <row x14ac:dyDescent="0.25" r="1215" customHeight="1" ht="18.75" hidden="1">
      <c r="A1215" s="12" t="s">
        <v>3640</v>
      </c>
      <c r="B1215" s="9">
        <v>45611</v>
      </c>
      <c r="C1215" s="12" t="s">
        <v>3</v>
      </c>
      <c r="D1215" s="12" t="s">
        <v>3641</v>
      </c>
      <c r="E1215" s="12" t="s">
        <v>3</v>
      </c>
      <c r="F1215" s="12" t="s">
        <v>3642</v>
      </c>
    </row>
    <row x14ac:dyDescent="0.25" r="1216" customHeight="1" ht="18.75" hidden="1">
      <c r="A1216" s="12" t="s">
        <v>3643</v>
      </c>
      <c r="B1216" s="9">
        <v>45610</v>
      </c>
      <c r="C1216" s="12" t="s">
        <v>3</v>
      </c>
      <c r="D1216" s="12" t="s">
        <v>3644</v>
      </c>
      <c r="E1216" s="12" t="s">
        <v>3</v>
      </c>
      <c r="F1216" s="12" t="s">
        <v>3645</v>
      </c>
    </row>
    <row x14ac:dyDescent="0.25" r="1217" customHeight="1" ht="18.75" hidden="1">
      <c r="A1217" s="12" t="s">
        <v>3646</v>
      </c>
      <c r="B1217" s="9">
        <v>45610</v>
      </c>
      <c r="C1217" s="12" t="s">
        <v>2</v>
      </c>
      <c r="D1217" s="12" t="s">
        <v>3647</v>
      </c>
      <c r="E1217" s="12" t="s">
        <v>2</v>
      </c>
      <c r="F1217" s="12" t="s">
        <v>3648</v>
      </c>
    </row>
    <row x14ac:dyDescent="0.25" r="1218" customHeight="1" ht="18.75" hidden="1">
      <c r="A1218" s="12" t="s">
        <v>3649</v>
      </c>
      <c r="B1218" s="9">
        <v>45610</v>
      </c>
      <c r="C1218" s="12" t="s">
        <v>3</v>
      </c>
      <c r="D1218" s="12" t="s">
        <v>3650</v>
      </c>
      <c r="E1218" s="12" t="s">
        <v>3</v>
      </c>
      <c r="F1218" s="12" t="s">
        <v>3651</v>
      </c>
    </row>
    <row x14ac:dyDescent="0.25" r="1219" customHeight="1" ht="18.75" hidden="1">
      <c r="A1219" s="12" t="s">
        <v>3652</v>
      </c>
      <c r="B1219" s="9">
        <v>45610</v>
      </c>
      <c r="C1219" s="12" t="s">
        <v>3</v>
      </c>
      <c r="D1219" s="12" t="s">
        <v>3653</v>
      </c>
      <c r="E1219" s="12" t="s">
        <v>3</v>
      </c>
      <c r="F1219" s="12" t="s">
        <v>3654</v>
      </c>
    </row>
    <row x14ac:dyDescent="0.25" r="1220" customHeight="1" ht="18.75">
      <c r="A1220" s="12" t="s">
        <v>3655</v>
      </c>
      <c r="B1220" s="9">
        <v>45610</v>
      </c>
      <c r="C1220" s="12" t="s">
        <v>2</v>
      </c>
      <c r="D1220" s="12" t="s">
        <v>3656</v>
      </c>
      <c r="E1220" s="12" t="s">
        <v>13</v>
      </c>
      <c r="F1220" s="12" t="s">
        <v>3657</v>
      </c>
    </row>
    <row x14ac:dyDescent="0.25" r="1221" customHeight="1" ht="18.75">
      <c r="A1221" s="12" t="s">
        <v>3658</v>
      </c>
      <c r="B1221" s="9">
        <v>45609</v>
      </c>
      <c r="C1221" s="12" t="s">
        <v>101</v>
      </c>
      <c r="D1221" s="12" t="s">
        <v>3659</v>
      </c>
      <c r="E1221" s="12" t="s">
        <v>13</v>
      </c>
      <c r="F1221" s="12" t="s">
        <v>3660</v>
      </c>
    </row>
    <row x14ac:dyDescent="0.25" r="1222" customHeight="1" ht="18.75">
      <c r="A1222" s="12" t="s">
        <v>3661</v>
      </c>
      <c r="B1222" s="9">
        <v>45609</v>
      </c>
      <c r="C1222" s="12" t="s">
        <v>101</v>
      </c>
      <c r="D1222" s="12" t="s">
        <v>3662</v>
      </c>
      <c r="E1222" s="12" t="s">
        <v>13</v>
      </c>
      <c r="F1222" s="12" t="s">
        <v>3663</v>
      </c>
    </row>
    <row x14ac:dyDescent="0.25" r="1223" customHeight="1" ht="18.75" hidden="1">
      <c r="A1223" s="12" t="s">
        <v>3664</v>
      </c>
      <c r="B1223" s="9">
        <v>45609</v>
      </c>
      <c r="C1223" s="12" t="s">
        <v>3</v>
      </c>
      <c r="D1223" s="12" t="s">
        <v>3665</v>
      </c>
      <c r="E1223" s="12" t="s">
        <v>3</v>
      </c>
      <c r="F1223" s="12" t="s">
        <v>3666</v>
      </c>
    </row>
    <row x14ac:dyDescent="0.25" r="1224" customHeight="1" ht="18.75" hidden="1">
      <c r="A1224" s="12" t="s">
        <v>3667</v>
      </c>
      <c r="B1224" s="9">
        <v>45608</v>
      </c>
      <c r="C1224" s="12" t="s">
        <v>2</v>
      </c>
      <c r="D1224" s="12" t="s">
        <v>3668</v>
      </c>
      <c r="E1224" s="12" t="s">
        <v>2</v>
      </c>
      <c r="F1224" s="12" t="s">
        <v>3669</v>
      </c>
    </row>
    <row x14ac:dyDescent="0.25" r="1225" customHeight="1" ht="18.75" hidden="1">
      <c r="A1225" s="12" t="s">
        <v>3670</v>
      </c>
      <c r="B1225" s="9">
        <v>45608</v>
      </c>
      <c r="C1225" s="12" t="s">
        <v>3</v>
      </c>
      <c r="D1225" s="12" t="s">
        <v>3671</v>
      </c>
      <c r="E1225" s="12" t="s">
        <v>3</v>
      </c>
      <c r="F1225" s="12" t="s">
        <v>3672</v>
      </c>
    </row>
    <row x14ac:dyDescent="0.25" r="1226" customHeight="1" ht="18.75" hidden="1">
      <c r="A1226" s="12" t="s">
        <v>3673</v>
      </c>
      <c r="B1226" s="9">
        <v>45608</v>
      </c>
      <c r="C1226" s="12" t="s">
        <v>3</v>
      </c>
      <c r="D1226" s="12" t="s">
        <v>3674</v>
      </c>
      <c r="E1226" s="12" t="s">
        <v>3</v>
      </c>
      <c r="F1226" s="12" t="s">
        <v>3675</v>
      </c>
    </row>
    <row x14ac:dyDescent="0.25" r="1227" customHeight="1" ht="18.75" hidden="1">
      <c r="A1227" s="12" t="s">
        <v>3676</v>
      </c>
      <c r="B1227" s="9">
        <v>45608</v>
      </c>
      <c r="C1227" s="12" t="s">
        <v>3</v>
      </c>
      <c r="D1227" s="12" t="s">
        <v>3677</v>
      </c>
      <c r="E1227" s="12" t="s">
        <v>3</v>
      </c>
      <c r="F1227" s="12" t="s">
        <v>3678</v>
      </c>
    </row>
    <row x14ac:dyDescent="0.25" r="1228" customHeight="1" ht="18.75" hidden="1">
      <c r="A1228" s="12" t="s">
        <v>3679</v>
      </c>
      <c r="B1228" s="9">
        <v>45607</v>
      </c>
      <c r="C1228" s="12" t="s">
        <v>3</v>
      </c>
      <c r="D1228" s="12" t="s">
        <v>3680</v>
      </c>
      <c r="E1228" s="12" t="s">
        <v>3</v>
      </c>
      <c r="F1228" s="12" t="s">
        <v>3681</v>
      </c>
    </row>
    <row x14ac:dyDescent="0.25" r="1229" customHeight="1" ht="18.75">
      <c r="A1229" s="12" t="s">
        <v>3682</v>
      </c>
      <c r="B1229" s="9">
        <v>45603</v>
      </c>
      <c r="C1229" s="12" t="s">
        <v>13</v>
      </c>
      <c r="D1229" s="12" t="s">
        <v>3683</v>
      </c>
      <c r="E1229" s="12" t="s">
        <v>13</v>
      </c>
      <c r="F1229" s="12" t="s">
        <v>3684</v>
      </c>
    </row>
    <row x14ac:dyDescent="0.25" r="1230" customHeight="1" ht="18.75">
      <c r="A1230" s="12" t="s">
        <v>3685</v>
      </c>
      <c r="B1230" s="9">
        <v>45603</v>
      </c>
      <c r="C1230" s="12" t="s">
        <v>101</v>
      </c>
      <c r="D1230" s="12" t="s">
        <v>3686</v>
      </c>
      <c r="E1230" s="12" t="s">
        <v>13</v>
      </c>
      <c r="F1230" s="12" t="s">
        <v>3687</v>
      </c>
    </row>
    <row x14ac:dyDescent="0.25" r="1231" customHeight="1" ht="18.75" hidden="1">
      <c r="A1231" s="12" t="s">
        <v>3688</v>
      </c>
      <c r="B1231" s="9">
        <v>45603</v>
      </c>
      <c r="C1231" s="12" t="s">
        <v>3</v>
      </c>
      <c r="D1231" s="12" t="s">
        <v>3689</v>
      </c>
      <c r="E1231" s="12" t="s">
        <v>3</v>
      </c>
      <c r="F1231" s="12" t="s">
        <v>3690</v>
      </c>
    </row>
    <row x14ac:dyDescent="0.25" r="1232" customHeight="1" ht="18.75" hidden="1">
      <c r="A1232" s="12" t="s">
        <v>3691</v>
      </c>
      <c r="B1232" s="9">
        <v>45602</v>
      </c>
      <c r="C1232" s="12" t="s">
        <v>3</v>
      </c>
      <c r="D1232" s="12" t="s">
        <v>3692</v>
      </c>
      <c r="E1232" s="12" t="s">
        <v>3</v>
      </c>
      <c r="F1232" s="12" t="s">
        <v>3693</v>
      </c>
    </row>
    <row x14ac:dyDescent="0.25" r="1233" customHeight="1" ht="18.75" hidden="1">
      <c r="A1233" s="12" t="s">
        <v>3694</v>
      </c>
      <c r="B1233" s="9">
        <v>45602</v>
      </c>
      <c r="C1233" s="12" t="s">
        <v>3</v>
      </c>
      <c r="D1233" s="12" t="s">
        <v>3695</v>
      </c>
      <c r="E1233" s="12" t="s">
        <v>3</v>
      </c>
      <c r="F1233" s="12" t="s">
        <v>3696</v>
      </c>
    </row>
    <row x14ac:dyDescent="0.25" r="1234" customHeight="1" ht="18.75" hidden="1">
      <c r="A1234" s="12" t="s">
        <v>3697</v>
      </c>
      <c r="B1234" s="9">
        <v>45602</v>
      </c>
      <c r="C1234" s="12" t="s">
        <v>3</v>
      </c>
      <c r="D1234" s="12" t="s">
        <v>3698</v>
      </c>
      <c r="E1234" s="12" t="s">
        <v>3</v>
      </c>
      <c r="F1234" s="12" t="s">
        <v>3699</v>
      </c>
    </row>
    <row x14ac:dyDescent="0.25" r="1235" customHeight="1" ht="18.75" hidden="1">
      <c r="A1235" s="12" t="s">
        <v>3700</v>
      </c>
      <c r="B1235" s="9">
        <v>45602</v>
      </c>
      <c r="C1235" s="12" t="s">
        <v>2</v>
      </c>
      <c r="D1235" s="12" t="s">
        <v>3701</v>
      </c>
      <c r="E1235" s="12" t="s">
        <v>2</v>
      </c>
      <c r="F1235" s="12" t="s">
        <v>3702</v>
      </c>
    </row>
    <row x14ac:dyDescent="0.25" r="1236" customHeight="1" ht="18.75">
      <c r="A1236" s="12" t="s">
        <v>3703</v>
      </c>
      <c r="B1236" s="9">
        <v>45601</v>
      </c>
      <c r="C1236" s="12" t="s">
        <v>3</v>
      </c>
      <c r="D1236" s="12" t="s">
        <v>3704</v>
      </c>
      <c r="E1236" s="12" t="s">
        <v>13</v>
      </c>
      <c r="F1236" s="12" t="s">
        <v>3705</v>
      </c>
    </row>
    <row x14ac:dyDescent="0.25" r="1237" customHeight="1" ht="18.75">
      <c r="A1237" s="12" t="s">
        <v>3706</v>
      </c>
      <c r="B1237" s="9">
        <v>45601</v>
      </c>
      <c r="C1237" s="12" t="s">
        <v>2</v>
      </c>
      <c r="D1237" s="12" t="s">
        <v>3707</v>
      </c>
      <c r="E1237" s="12" t="s">
        <v>13</v>
      </c>
      <c r="F1237" s="12" t="s">
        <v>3708</v>
      </c>
    </row>
    <row x14ac:dyDescent="0.25" r="1238" customHeight="1" ht="18.75" hidden="1">
      <c r="A1238" s="12" t="s">
        <v>3709</v>
      </c>
      <c r="B1238" s="9">
        <v>45600</v>
      </c>
      <c r="C1238" s="12" t="s">
        <v>2</v>
      </c>
      <c r="D1238" s="12" t="s">
        <v>3710</v>
      </c>
      <c r="E1238" s="12" t="s">
        <v>2</v>
      </c>
      <c r="F1238" s="12" t="s">
        <v>3711</v>
      </c>
    </row>
    <row x14ac:dyDescent="0.25" r="1239" customHeight="1" ht="18.75" hidden="1">
      <c r="A1239" s="12" t="s">
        <v>3712</v>
      </c>
      <c r="B1239" s="9">
        <v>45600</v>
      </c>
      <c r="C1239" s="12" t="s">
        <v>2</v>
      </c>
      <c r="D1239" s="12" t="s">
        <v>3713</v>
      </c>
      <c r="E1239" s="12" t="s">
        <v>2</v>
      </c>
      <c r="F1239" s="12" t="s">
        <v>3714</v>
      </c>
    </row>
    <row x14ac:dyDescent="0.25" r="1240" customHeight="1" ht="18.75" hidden="1">
      <c r="A1240" s="12" t="s">
        <v>3715</v>
      </c>
      <c r="B1240" s="9">
        <v>45600</v>
      </c>
      <c r="C1240" s="12" t="s">
        <v>2</v>
      </c>
      <c r="D1240" s="12" t="s">
        <v>3716</v>
      </c>
      <c r="E1240" s="12" t="s">
        <v>2</v>
      </c>
      <c r="F1240" s="12" t="s">
        <v>3717</v>
      </c>
    </row>
    <row x14ac:dyDescent="0.25" r="1241" customHeight="1" ht="18.75" hidden="1">
      <c r="A1241" s="12" t="s">
        <v>3718</v>
      </c>
      <c r="B1241" s="9">
        <v>45600</v>
      </c>
      <c r="C1241" s="12" t="s">
        <v>2</v>
      </c>
      <c r="D1241" s="12" t="s">
        <v>3719</v>
      </c>
      <c r="E1241" s="12" t="s">
        <v>2</v>
      </c>
      <c r="F1241" s="12" t="s">
        <v>3720</v>
      </c>
    </row>
    <row x14ac:dyDescent="0.25" r="1242" customHeight="1" ht="18.75" hidden="1">
      <c r="A1242" s="12" t="s">
        <v>3721</v>
      </c>
      <c r="B1242" s="9">
        <v>45600</v>
      </c>
      <c r="C1242" s="12" t="s">
        <v>2</v>
      </c>
      <c r="D1242" s="12" t="s">
        <v>3722</v>
      </c>
      <c r="E1242" s="12" t="s">
        <v>2</v>
      </c>
      <c r="F1242" s="12" t="s">
        <v>3723</v>
      </c>
    </row>
    <row x14ac:dyDescent="0.25" r="1243" customHeight="1" ht="18.75" hidden="1">
      <c r="A1243" s="12" t="s">
        <v>3724</v>
      </c>
      <c r="B1243" s="9">
        <v>45597</v>
      </c>
      <c r="C1243" s="12" t="s">
        <v>2</v>
      </c>
      <c r="D1243" s="12" t="s">
        <v>3725</v>
      </c>
      <c r="E1243" s="12" t="s">
        <v>2</v>
      </c>
      <c r="F1243" s="12" t="s">
        <v>3726</v>
      </c>
    </row>
    <row x14ac:dyDescent="0.25" r="1244" customHeight="1" ht="18.75" hidden="1">
      <c r="A1244" s="12" t="s">
        <v>3727</v>
      </c>
      <c r="B1244" s="9">
        <v>45597</v>
      </c>
      <c r="C1244" s="12" t="s">
        <v>2</v>
      </c>
      <c r="D1244" s="12" t="s">
        <v>3728</v>
      </c>
      <c r="E1244" s="12" t="s">
        <v>2</v>
      </c>
      <c r="F1244" s="12" t="s">
        <v>3729</v>
      </c>
    </row>
    <row x14ac:dyDescent="0.25" r="1245" customHeight="1" ht="18.75" hidden="1">
      <c r="A1245" s="12" t="s">
        <v>3730</v>
      </c>
      <c r="B1245" s="9">
        <v>45597</v>
      </c>
      <c r="C1245" s="12" t="s">
        <v>2</v>
      </c>
      <c r="D1245" s="12" t="s">
        <v>3731</v>
      </c>
      <c r="E1245" s="12" t="s">
        <v>2</v>
      </c>
      <c r="F1245" s="12" t="s">
        <v>3732</v>
      </c>
    </row>
    <row x14ac:dyDescent="0.25" r="1246" customHeight="1" ht="18.75" hidden="1">
      <c r="A1246" s="12" t="s">
        <v>3733</v>
      </c>
      <c r="B1246" s="9">
        <v>45597</v>
      </c>
      <c r="C1246" s="12" t="s">
        <v>2</v>
      </c>
      <c r="D1246" s="12" t="s">
        <v>3734</v>
      </c>
      <c r="E1246" s="12" t="s">
        <v>2</v>
      </c>
      <c r="F1246" s="12" t="s">
        <v>3735</v>
      </c>
    </row>
    <row x14ac:dyDescent="0.25" r="1247" customHeight="1" ht="18.75" hidden="1">
      <c r="A1247" s="12" t="s">
        <v>3736</v>
      </c>
      <c r="B1247" s="9">
        <v>45596</v>
      </c>
      <c r="C1247" s="12" t="s">
        <v>3</v>
      </c>
      <c r="D1247" s="12" t="s">
        <v>3737</v>
      </c>
      <c r="E1247" s="12" t="s">
        <v>3</v>
      </c>
      <c r="F1247" s="12" t="s">
        <v>3738</v>
      </c>
    </row>
    <row x14ac:dyDescent="0.25" r="1248" customHeight="1" ht="18.75">
      <c r="A1248" s="12" t="s">
        <v>3739</v>
      </c>
      <c r="B1248" s="9">
        <v>45595</v>
      </c>
      <c r="C1248" s="12" t="s">
        <v>101</v>
      </c>
      <c r="D1248" s="12" t="s">
        <v>3740</v>
      </c>
      <c r="E1248" s="12" t="s">
        <v>13</v>
      </c>
      <c r="F1248" s="12" t="s">
        <v>3741</v>
      </c>
    </row>
    <row x14ac:dyDescent="0.25" r="1249" customHeight="1" ht="18.75" hidden="1">
      <c r="A1249" s="12" t="s">
        <v>3742</v>
      </c>
      <c r="B1249" s="9">
        <v>45594</v>
      </c>
      <c r="C1249" s="12" t="s">
        <v>3</v>
      </c>
      <c r="D1249" s="12" t="s">
        <v>3743</v>
      </c>
      <c r="E1249" s="12" t="s">
        <v>3</v>
      </c>
      <c r="F1249" s="12" t="s">
        <v>3744</v>
      </c>
    </row>
    <row x14ac:dyDescent="0.25" r="1250" customHeight="1" ht="18.75" hidden="1">
      <c r="A1250" s="12" t="s">
        <v>3745</v>
      </c>
      <c r="B1250" s="9">
        <v>45594</v>
      </c>
      <c r="C1250" s="12" t="s">
        <v>2</v>
      </c>
      <c r="D1250" s="12" t="s">
        <v>3746</v>
      </c>
      <c r="E1250" s="12" t="s">
        <v>2</v>
      </c>
      <c r="F1250" s="12" t="s">
        <v>3747</v>
      </c>
    </row>
    <row x14ac:dyDescent="0.25" r="1251" customHeight="1" ht="18.75" hidden="1">
      <c r="A1251" s="12" t="s">
        <v>3748</v>
      </c>
      <c r="B1251" s="9">
        <v>45594</v>
      </c>
      <c r="C1251" s="12" t="s">
        <v>2</v>
      </c>
      <c r="D1251" s="12" t="s">
        <v>3749</v>
      </c>
      <c r="E1251" s="12" t="s">
        <v>2</v>
      </c>
      <c r="F1251" s="12" t="s">
        <v>3750</v>
      </c>
    </row>
    <row x14ac:dyDescent="0.25" r="1252" customHeight="1" ht="18.75" hidden="1">
      <c r="A1252" s="12" t="s">
        <v>3751</v>
      </c>
      <c r="B1252" s="9">
        <v>45593</v>
      </c>
      <c r="C1252" s="12" t="s">
        <v>3</v>
      </c>
      <c r="D1252" s="12" t="s">
        <v>3752</v>
      </c>
      <c r="E1252" s="12" t="s">
        <v>3</v>
      </c>
      <c r="F1252" s="12" t="s">
        <v>3753</v>
      </c>
    </row>
    <row x14ac:dyDescent="0.25" r="1253" customHeight="1" ht="18.75" hidden="1">
      <c r="A1253" s="12" t="s">
        <v>3754</v>
      </c>
      <c r="B1253" s="9">
        <v>45593</v>
      </c>
      <c r="C1253" s="12" t="s">
        <v>3</v>
      </c>
      <c r="D1253" s="12" t="s">
        <v>3755</v>
      </c>
      <c r="E1253" s="12" t="s">
        <v>3</v>
      </c>
      <c r="F1253" s="12" t="s">
        <v>3756</v>
      </c>
    </row>
    <row x14ac:dyDescent="0.25" r="1254" customHeight="1" ht="18.75" hidden="1">
      <c r="A1254" s="12" t="s">
        <v>3757</v>
      </c>
      <c r="B1254" s="9">
        <v>45593</v>
      </c>
      <c r="C1254" s="12" t="s">
        <v>3</v>
      </c>
      <c r="D1254" s="12" t="s">
        <v>3758</v>
      </c>
      <c r="E1254" s="12" t="s">
        <v>3</v>
      </c>
      <c r="F1254" s="12" t="s">
        <v>3759</v>
      </c>
    </row>
    <row x14ac:dyDescent="0.25" r="1255" customHeight="1" ht="18.75" hidden="1">
      <c r="A1255" s="12" t="s">
        <v>3760</v>
      </c>
      <c r="B1255" s="9">
        <v>45593</v>
      </c>
      <c r="C1255" s="12" t="s">
        <v>3</v>
      </c>
      <c r="D1255" s="12" t="s">
        <v>3761</v>
      </c>
      <c r="E1255" s="12" t="s">
        <v>3</v>
      </c>
      <c r="F1255" s="12" t="s">
        <v>3762</v>
      </c>
    </row>
    <row x14ac:dyDescent="0.25" r="1256" customHeight="1" ht="18.75" hidden="1">
      <c r="A1256" s="12" t="s">
        <v>3763</v>
      </c>
      <c r="B1256" s="9">
        <v>45593</v>
      </c>
      <c r="C1256" s="12" t="s">
        <v>3</v>
      </c>
      <c r="D1256" s="12" t="s">
        <v>3764</v>
      </c>
      <c r="E1256" s="12" t="s">
        <v>3</v>
      </c>
      <c r="F1256" s="12" t="s">
        <v>3765</v>
      </c>
    </row>
    <row x14ac:dyDescent="0.25" r="1257" customHeight="1" ht="18.75" hidden="1">
      <c r="A1257" s="12" t="s">
        <v>3766</v>
      </c>
      <c r="B1257" s="9">
        <v>45593</v>
      </c>
      <c r="C1257" s="12" t="s">
        <v>2</v>
      </c>
      <c r="D1257" s="12" t="s">
        <v>3767</v>
      </c>
      <c r="E1257" s="12" t="s">
        <v>2</v>
      </c>
      <c r="F1257" s="12" t="s">
        <v>3768</v>
      </c>
    </row>
    <row x14ac:dyDescent="0.25" r="1258" customHeight="1" ht="18.75" hidden="1">
      <c r="A1258" s="12" t="s">
        <v>3769</v>
      </c>
      <c r="B1258" s="9">
        <v>45591</v>
      </c>
      <c r="C1258" s="12" t="s">
        <v>3</v>
      </c>
      <c r="D1258" s="12" t="s">
        <v>3770</v>
      </c>
      <c r="E1258" s="12" t="s">
        <v>3</v>
      </c>
      <c r="F1258" s="12" t="s">
        <v>3771</v>
      </c>
    </row>
    <row x14ac:dyDescent="0.25" r="1259" customHeight="1" ht="18.75" hidden="1">
      <c r="A1259" s="12" t="s">
        <v>3772</v>
      </c>
      <c r="B1259" s="9">
        <v>45590</v>
      </c>
      <c r="C1259" s="12" t="s">
        <v>2</v>
      </c>
      <c r="D1259" s="12" t="s">
        <v>3773</v>
      </c>
      <c r="E1259" s="12" t="s">
        <v>2</v>
      </c>
      <c r="F1259" s="12" t="s">
        <v>3774</v>
      </c>
    </row>
    <row x14ac:dyDescent="0.25" r="1260" customHeight="1" ht="18.75" hidden="1">
      <c r="A1260" s="12" t="s">
        <v>3775</v>
      </c>
      <c r="B1260" s="9">
        <v>45589</v>
      </c>
      <c r="C1260" s="12" t="s">
        <v>3</v>
      </c>
      <c r="D1260" s="12" t="s">
        <v>3776</v>
      </c>
      <c r="E1260" s="12" t="s">
        <v>3</v>
      </c>
      <c r="F1260" s="12" t="s">
        <v>3777</v>
      </c>
    </row>
    <row x14ac:dyDescent="0.25" r="1261" customHeight="1" ht="18.75">
      <c r="A1261" s="12" t="s">
        <v>3778</v>
      </c>
      <c r="B1261" s="9">
        <v>45589</v>
      </c>
      <c r="C1261" s="12" t="s">
        <v>101</v>
      </c>
      <c r="D1261" s="12" t="s">
        <v>3779</v>
      </c>
      <c r="E1261" s="12" t="s">
        <v>13</v>
      </c>
      <c r="F1261" s="12" t="s">
        <v>3780</v>
      </c>
    </row>
    <row x14ac:dyDescent="0.25" r="1262" customHeight="1" ht="18.75" hidden="1">
      <c r="A1262" s="12" t="s">
        <v>3781</v>
      </c>
      <c r="B1262" s="9">
        <v>45589</v>
      </c>
      <c r="C1262" s="12" t="s">
        <v>2</v>
      </c>
      <c r="D1262" s="12" t="s">
        <v>3782</v>
      </c>
      <c r="E1262" s="12" t="s">
        <v>2</v>
      </c>
      <c r="F1262" s="12" t="s">
        <v>3783</v>
      </c>
    </row>
    <row x14ac:dyDescent="0.25" r="1263" customHeight="1" ht="18.75" hidden="1">
      <c r="A1263" s="12" t="s">
        <v>3784</v>
      </c>
      <c r="B1263" s="9">
        <v>45589</v>
      </c>
      <c r="C1263" s="12" t="s">
        <v>3</v>
      </c>
      <c r="D1263" s="12" t="s">
        <v>3785</v>
      </c>
      <c r="E1263" s="12" t="s">
        <v>3</v>
      </c>
      <c r="F1263" s="12" t="s">
        <v>3786</v>
      </c>
    </row>
    <row x14ac:dyDescent="0.25" r="1264" customHeight="1" ht="18.75" hidden="1">
      <c r="A1264" s="12" t="s">
        <v>3787</v>
      </c>
      <c r="B1264" s="9">
        <v>45588</v>
      </c>
      <c r="C1264" s="12" t="s">
        <v>3</v>
      </c>
      <c r="D1264" s="12" t="s">
        <v>3788</v>
      </c>
      <c r="E1264" s="12" t="s">
        <v>3</v>
      </c>
      <c r="F1264" s="12" t="s">
        <v>3789</v>
      </c>
    </row>
    <row x14ac:dyDescent="0.25" r="1265" customHeight="1" ht="18.75" hidden="1">
      <c r="A1265" s="12" t="s">
        <v>3790</v>
      </c>
      <c r="B1265" s="9">
        <v>45588</v>
      </c>
      <c r="C1265" s="12" t="s">
        <v>2</v>
      </c>
      <c r="D1265" s="12" t="s">
        <v>3791</v>
      </c>
      <c r="E1265" s="12" t="s">
        <v>2</v>
      </c>
      <c r="F1265" s="12" t="s">
        <v>3792</v>
      </c>
    </row>
    <row x14ac:dyDescent="0.25" r="1266" customHeight="1" ht="18.75" hidden="1">
      <c r="A1266" s="12" t="s">
        <v>3793</v>
      </c>
      <c r="B1266" s="9">
        <v>45588</v>
      </c>
      <c r="C1266" s="12" t="s">
        <v>3</v>
      </c>
      <c r="D1266" s="12" t="s">
        <v>3794</v>
      </c>
      <c r="E1266" s="12" t="s">
        <v>3</v>
      </c>
      <c r="F1266" s="12" t="s">
        <v>3795</v>
      </c>
    </row>
    <row x14ac:dyDescent="0.25" r="1267" customHeight="1" ht="18.75" hidden="1">
      <c r="A1267" s="12" t="s">
        <v>3796</v>
      </c>
      <c r="B1267" s="9">
        <v>45588</v>
      </c>
      <c r="C1267" s="12" t="s">
        <v>3</v>
      </c>
      <c r="D1267" s="12" t="s">
        <v>3797</v>
      </c>
      <c r="E1267" s="12" t="s">
        <v>3</v>
      </c>
      <c r="F1267" s="12" t="s">
        <v>3798</v>
      </c>
    </row>
    <row x14ac:dyDescent="0.25" r="1268" customHeight="1" ht="18.75" hidden="1">
      <c r="A1268" s="12" t="s">
        <v>3799</v>
      </c>
      <c r="B1268" s="9">
        <v>45588</v>
      </c>
      <c r="C1268" s="12" t="s">
        <v>2</v>
      </c>
      <c r="D1268" s="12" t="s">
        <v>3800</v>
      </c>
      <c r="E1268" s="12" t="s">
        <v>2</v>
      </c>
      <c r="F1268" s="12" t="s">
        <v>3801</v>
      </c>
    </row>
    <row x14ac:dyDescent="0.25" r="1269" customHeight="1" ht="18.75" hidden="1">
      <c r="A1269" s="12" t="s">
        <v>3802</v>
      </c>
      <c r="B1269" s="9">
        <v>45587</v>
      </c>
      <c r="C1269" s="12" t="s">
        <v>2</v>
      </c>
      <c r="D1269" s="12" t="s">
        <v>3803</v>
      </c>
      <c r="E1269" s="12" t="s">
        <v>2</v>
      </c>
      <c r="F1269" s="12" t="s">
        <v>3804</v>
      </c>
    </row>
    <row x14ac:dyDescent="0.25" r="1270" customHeight="1" ht="18.75" hidden="1">
      <c r="A1270" s="12" t="s">
        <v>3805</v>
      </c>
      <c r="B1270" s="9">
        <v>45587</v>
      </c>
      <c r="C1270" s="12" t="s">
        <v>3</v>
      </c>
      <c r="D1270" s="12" t="s">
        <v>3806</v>
      </c>
      <c r="E1270" s="12" t="s">
        <v>3</v>
      </c>
      <c r="F1270" s="12" t="s">
        <v>3807</v>
      </c>
    </row>
    <row x14ac:dyDescent="0.25" r="1271" customHeight="1" ht="18.75" hidden="1">
      <c r="A1271" s="12" t="s">
        <v>3808</v>
      </c>
      <c r="B1271" s="9">
        <v>45586</v>
      </c>
      <c r="C1271" s="12" t="s">
        <v>13</v>
      </c>
      <c r="D1271" s="12" t="s">
        <v>3809</v>
      </c>
      <c r="E1271" s="12" t="s">
        <v>3</v>
      </c>
      <c r="F1271" s="12" t="s">
        <v>3810</v>
      </c>
    </row>
    <row x14ac:dyDescent="0.25" r="1272" customHeight="1" ht="18.75" hidden="1">
      <c r="A1272" s="12" t="s">
        <v>3811</v>
      </c>
      <c r="B1272" s="9">
        <v>45583</v>
      </c>
      <c r="C1272" s="12" t="s">
        <v>3</v>
      </c>
      <c r="D1272" s="12" t="s">
        <v>3812</v>
      </c>
      <c r="E1272" s="12" t="s">
        <v>3</v>
      </c>
      <c r="F1272" s="12" t="s">
        <v>3813</v>
      </c>
    </row>
    <row x14ac:dyDescent="0.25" r="1273" customHeight="1" ht="18.75" hidden="1">
      <c r="A1273" s="12" t="s">
        <v>3814</v>
      </c>
      <c r="B1273" s="9">
        <v>45583</v>
      </c>
      <c r="C1273" s="12" t="s">
        <v>3</v>
      </c>
      <c r="D1273" s="12" t="s">
        <v>3815</v>
      </c>
      <c r="E1273" s="12" t="s">
        <v>3</v>
      </c>
      <c r="F1273" s="12" t="s">
        <v>3816</v>
      </c>
    </row>
    <row x14ac:dyDescent="0.25" r="1274" customHeight="1" ht="18.75">
      <c r="A1274" s="12" t="s">
        <v>3817</v>
      </c>
      <c r="B1274" s="9">
        <v>45582</v>
      </c>
      <c r="C1274" s="12" t="s">
        <v>13</v>
      </c>
      <c r="D1274" s="12" t="s">
        <v>3818</v>
      </c>
      <c r="E1274" s="12" t="s">
        <v>13</v>
      </c>
      <c r="F1274" s="12" t="s">
        <v>3819</v>
      </c>
    </row>
    <row x14ac:dyDescent="0.25" r="1275" customHeight="1" ht="18.75" hidden="1">
      <c r="A1275" s="12" t="s">
        <v>3820</v>
      </c>
      <c r="B1275" s="9">
        <v>45582</v>
      </c>
      <c r="C1275" s="12" t="s">
        <v>2</v>
      </c>
      <c r="D1275" s="12" t="s">
        <v>3821</v>
      </c>
      <c r="E1275" s="12" t="s">
        <v>2</v>
      </c>
      <c r="F1275" s="12" t="s">
        <v>3822</v>
      </c>
    </row>
    <row x14ac:dyDescent="0.25" r="1276" customHeight="1" ht="18.75" hidden="1">
      <c r="A1276" s="12" t="s">
        <v>3823</v>
      </c>
      <c r="B1276" s="9">
        <v>45582</v>
      </c>
      <c r="C1276" s="12" t="s">
        <v>13</v>
      </c>
      <c r="D1276" s="12" t="s">
        <v>3824</v>
      </c>
      <c r="E1276" s="12" t="s">
        <v>2</v>
      </c>
      <c r="F1276" s="12" t="s">
        <v>3825</v>
      </c>
    </row>
    <row x14ac:dyDescent="0.25" r="1277" customHeight="1" ht="18.75" hidden="1">
      <c r="A1277" s="12" t="s">
        <v>3826</v>
      </c>
      <c r="B1277" s="9">
        <v>45582</v>
      </c>
      <c r="C1277" s="12" t="s">
        <v>2</v>
      </c>
      <c r="D1277" s="12" t="s">
        <v>3827</v>
      </c>
      <c r="E1277" s="12" t="s">
        <v>2</v>
      </c>
      <c r="F1277" s="12" t="s">
        <v>3828</v>
      </c>
    </row>
    <row x14ac:dyDescent="0.25" r="1278" customHeight="1" ht="18.75" hidden="1">
      <c r="A1278" s="12" t="s">
        <v>3829</v>
      </c>
      <c r="B1278" s="9">
        <v>45581</v>
      </c>
      <c r="C1278" s="12" t="s">
        <v>3</v>
      </c>
      <c r="D1278" s="12" t="s">
        <v>3830</v>
      </c>
      <c r="E1278" s="12" t="s">
        <v>3</v>
      </c>
      <c r="F1278" s="12" t="s">
        <v>3831</v>
      </c>
    </row>
    <row x14ac:dyDescent="0.25" r="1279" customHeight="1" ht="18.75" hidden="1">
      <c r="A1279" s="12" t="s">
        <v>3832</v>
      </c>
      <c r="B1279" s="9">
        <v>45581</v>
      </c>
      <c r="C1279" s="12" t="s">
        <v>3</v>
      </c>
      <c r="D1279" s="12" t="s">
        <v>3833</v>
      </c>
      <c r="E1279" s="12" t="s">
        <v>3</v>
      </c>
      <c r="F1279" s="12" t="s">
        <v>3834</v>
      </c>
    </row>
    <row x14ac:dyDescent="0.25" r="1280" customHeight="1" ht="18.75" hidden="1">
      <c r="A1280" s="12" t="s">
        <v>3835</v>
      </c>
      <c r="B1280" s="9">
        <v>45581</v>
      </c>
      <c r="C1280" s="12" t="s">
        <v>3</v>
      </c>
      <c r="D1280" s="12" t="s">
        <v>3836</v>
      </c>
      <c r="E1280" s="12" t="s">
        <v>3</v>
      </c>
      <c r="F1280" s="12" t="s">
        <v>3837</v>
      </c>
    </row>
    <row x14ac:dyDescent="0.25" r="1281" customHeight="1" ht="18.75" hidden="1">
      <c r="A1281" s="12" t="s">
        <v>3838</v>
      </c>
      <c r="B1281" s="9">
        <v>45580</v>
      </c>
      <c r="C1281" s="12" t="s">
        <v>3</v>
      </c>
      <c r="D1281" s="12" t="s">
        <v>3839</v>
      </c>
      <c r="E1281" s="12" t="s">
        <v>3</v>
      </c>
      <c r="F1281" s="12" t="s">
        <v>3840</v>
      </c>
    </row>
    <row x14ac:dyDescent="0.25" r="1282" customHeight="1" ht="18.75" hidden="1">
      <c r="A1282" s="12" t="s">
        <v>3841</v>
      </c>
      <c r="B1282" s="9">
        <v>45580</v>
      </c>
      <c r="C1282" s="12" t="s">
        <v>2</v>
      </c>
      <c r="D1282" s="12" t="s">
        <v>3842</v>
      </c>
      <c r="E1282" s="12" t="s">
        <v>3</v>
      </c>
      <c r="F1282" s="12" t="s">
        <v>3843</v>
      </c>
    </row>
    <row x14ac:dyDescent="0.25" r="1283" customHeight="1" ht="18.75" hidden="1">
      <c r="A1283" s="12" t="s">
        <v>3844</v>
      </c>
      <c r="B1283" s="9">
        <v>45580</v>
      </c>
      <c r="C1283" s="12" t="s">
        <v>3</v>
      </c>
      <c r="D1283" s="12" t="s">
        <v>3845</v>
      </c>
      <c r="E1283" s="12" t="s">
        <v>3</v>
      </c>
      <c r="F1283" s="12" t="s">
        <v>3846</v>
      </c>
    </row>
    <row x14ac:dyDescent="0.25" r="1284" customHeight="1" ht="18.75" hidden="1">
      <c r="A1284" s="12" t="s">
        <v>3847</v>
      </c>
      <c r="B1284" s="9">
        <v>45580</v>
      </c>
      <c r="C1284" s="12" t="s">
        <v>3</v>
      </c>
      <c r="D1284" s="12" t="s">
        <v>3848</v>
      </c>
      <c r="E1284" s="12" t="s">
        <v>3</v>
      </c>
      <c r="F1284" s="12" t="s">
        <v>3849</v>
      </c>
    </row>
    <row x14ac:dyDescent="0.25" r="1285" customHeight="1" ht="18.75" hidden="1">
      <c r="A1285" s="12" t="s">
        <v>3850</v>
      </c>
      <c r="B1285" s="9">
        <v>45580</v>
      </c>
      <c r="C1285" s="12" t="s">
        <v>3</v>
      </c>
      <c r="D1285" s="12" t="s">
        <v>3851</v>
      </c>
      <c r="E1285" s="12" t="s">
        <v>3</v>
      </c>
      <c r="F1285" s="12" t="s">
        <v>3852</v>
      </c>
    </row>
    <row x14ac:dyDescent="0.25" r="1286" customHeight="1" ht="18.75">
      <c r="A1286" s="12" t="s">
        <v>3853</v>
      </c>
      <c r="B1286" s="9">
        <v>45580</v>
      </c>
      <c r="C1286" s="12" t="s">
        <v>13</v>
      </c>
      <c r="D1286" s="12" t="s">
        <v>3854</v>
      </c>
      <c r="E1286" s="12" t="s">
        <v>13</v>
      </c>
      <c r="F1286" s="12" t="s">
        <v>3855</v>
      </c>
    </row>
    <row x14ac:dyDescent="0.25" r="1287" customHeight="1" ht="18.75" hidden="1">
      <c r="A1287" s="12" t="s">
        <v>3856</v>
      </c>
      <c r="B1287" s="9">
        <v>45580</v>
      </c>
      <c r="C1287" s="12" t="s">
        <v>3</v>
      </c>
      <c r="D1287" s="12" t="s">
        <v>3857</v>
      </c>
      <c r="E1287" s="12" t="s">
        <v>3</v>
      </c>
      <c r="F1287" s="12" t="s">
        <v>3858</v>
      </c>
    </row>
    <row x14ac:dyDescent="0.25" r="1288" customHeight="1" ht="18.75" hidden="1">
      <c r="A1288" s="12" t="s">
        <v>3859</v>
      </c>
      <c r="B1288" s="9">
        <v>45580</v>
      </c>
      <c r="C1288" s="12" t="s">
        <v>2</v>
      </c>
      <c r="D1288" s="12" t="s">
        <v>3860</v>
      </c>
      <c r="E1288" s="12" t="s">
        <v>2</v>
      </c>
      <c r="F1288" s="12" t="s">
        <v>3861</v>
      </c>
    </row>
    <row x14ac:dyDescent="0.25" r="1289" customHeight="1" ht="18.75" hidden="1">
      <c r="A1289" s="12" t="s">
        <v>3862</v>
      </c>
      <c r="B1289" s="9">
        <v>45579</v>
      </c>
      <c r="C1289" s="12" t="s">
        <v>3</v>
      </c>
      <c r="D1289" s="12" t="s">
        <v>3863</v>
      </c>
      <c r="E1289" s="12" t="s">
        <v>3</v>
      </c>
      <c r="F1289" s="12" t="s">
        <v>3864</v>
      </c>
    </row>
    <row x14ac:dyDescent="0.25" r="1290" customHeight="1" ht="18.75">
      <c r="A1290" s="12" t="s">
        <v>3865</v>
      </c>
      <c r="B1290" s="9">
        <v>45579</v>
      </c>
      <c r="C1290" s="12" t="s">
        <v>13</v>
      </c>
      <c r="D1290" s="12" t="s">
        <v>3866</v>
      </c>
      <c r="E1290" s="12" t="s">
        <v>13</v>
      </c>
      <c r="F1290" s="12" t="s">
        <v>3867</v>
      </c>
    </row>
    <row x14ac:dyDescent="0.25" r="1291" customHeight="1" ht="18.75" hidden="1">
      <c r="A1291" s="12" t="s">
        <v>3868</v>
      </c>
      <c r="B1291" s="9">
        <v>45579</v>
      </c>
      <c r="C1291" s="12" t="s">
        <v>2</v>
      </c>
      <c r="D1291" s="12" t="s">
        <v>3869</v>
      </c>
      <c r="E1291" s="12" t="s">
        <v>3</v>
      </c>
      <c r="F1291" s="12" t="s">
        <v>3870</v>
      </c>
    </row>
    <row x14ac:dyDescent="0.25" r="1292" customHeight="1" ht="18.75" hidden="1">
      <c r="A1292" s="12" t="s">
        <v>3871</v>
      </c>
      <c r="B1292" s="9">
        <v>45579</v>
      </c>
      <c r="C1292" s="12" t="s">
        <v>3</v>
      </c>
      <c r="D1292" s="12" t="s">
        <v>3872</v>
      </c>
      <c r="E1292" s="12" t="s">
        <v>3</v>
      </c>
      <c r="F1292" s="12" t="s">
        <v>3873</v>
      </c>
    </row>
    <row x14ac:dyDescent="0.25" r="1293" customHeight="1" ht="18.75">
      <c r="A1293" s="12" t="s">
        <v>3874</v>
      </c>
      <c r="B1293" s="9">
        <v>45578</v>
      </c>
      <c r="C1293" s="12" t="s">
        <v>101</v>
      </c>
      <c r="D1293" s="12" t="s">
        <v>3875</v>
      </c>
      <c r="E1293" s="12" t="s">
        <v>13</v>
      </c>
      <c r="F1293" s="12" t="s">
        <v>3876</v>
      </c>
    </row>
    <row x14ac:dyDescent="0.25" r="1294" customHeight="1" ht="18.75" hidden="1">
      <c r="A1294" s="12" t="s">
        <v>3877</v>
      </c>
      <c r="B1294" s="9">
        <v>45576</v>
      </c>
      <c r="C1294" s="12" t="s">
        <v>2</v>
      </c>
      <c r="D1294" s="12" t="s">
        <v>3878</v>
      </c>
      <c r="E1294" s="12" t="s">
        <v>2</v>
      </c>
      <c r="F1294" s="12" t="s">
        <v>3879</v>
      </c>
    </row>
    <row x14ac:dyDescent="0.25" r="1295" customHeight="1" ht="18.75" hidden="1">
      <c r="A1295" s="12" t="s">
        <v>3880</v>
      </c>
      <c r="B1295" s="9">
        <v>45575</v>
      </c>
      <c r="C1295" s="12" t="s">
        <v>101</v>
      </c>
      <c r="D1295" s="12" t="s">
        <v>3881</v>
      </c>
      <c r="E1295" s="12" t="s">
        <v>2</v>
      </c>
      <c r="F1295" s="12" t="s">
        <v>3882</v>
      </c>
    </row>
    <row x14ac:dyDescent="0.25" r="1296" customHeight="1" ht="18.75" hidden="1">
      <c r="A1296" s="12" t="s">
        <v>3883</v>
      </c>
      <c r="B1296" s="9">
        <v>45575</v>
      </c>
      <c r="C1296" s="12" t="s">
        <v>2</v>
      </c>
      <c r="D1296" s="12" t="s">
        <v>3884</v>
      </c>
      <c r="E1296" s="12" t="s">
        <v>2</v>
      </c>
      <c r="F1296" s="12" t="s">
        <v>3885</v>
      </c>
    </row>
    <row x14ac:dyDescent="0.25" r="1297" customHeight="1" ht="18.75" hidden="1">
      <c r="A1297" s="12" t="s">
        <v>3886</v>
      </c>
      <c r="B1297" s="9">
        <v>45574</v>
      </c>
      <c r="C1297" s="12" t="s">
        <v>2</v>
      </c>
      <c r="D1297" s="12" t="s">
        <v>3887</v>
      </c>
      <c r="E1297" s="12" t="s">
        <v>2</v>
      </c>
      <c r="F1297" s="12" t="s">
        <v>3888</v>
      </c>
    </row>
    <row x14ac:dyDescent="0.25" r="1298" customHeight="1" ht="18.75">
      <c r="A1298" s="12" t="s">
        <v>3889</v>
      </c>
      <c r="B1298" s="9">
        <v>45574</v>
      </c>
      <c r="C1298" s="12" t="s">
        <v>101</v>
      </c>
      <c r="D1298" s="12" t="s">
        <v>3890</v>
      </c>
      <c r="E1298" s="12" t="s">
        <v>13</v>
      </c>
      <c r="F1298" s="12" t="s">
        <v>3891</v>
      </c>
    </row>
    <row x14ac:dyDescent="0.25" r="1299" customHeight="1" ht="18.75">
      <c r="A1299" s="12" t="s">
        <v>3892</v>
      </c>
      <c r="B1299" s="9">
        <v>45574</v>
      </c>
      <c r="C1299" s="12" t="s">
        <v>13</v>
      </c>
      <c r="D1299" s="12" t="s">
        <v>3893</v>
      </c>
      <c r="E1299" s="12" t="s">
        <v>13</v>
      </c>
      <c r="F1299" s="12" t="s">
        <v>3894</v>
      </c>
    </row>
    <row x14ac:dyDescent="0.25" r="1300" customHeight="1" ht="18.75" hidden="1">
      <c r="A1300" s="12" t="s">
        <v>3895</v>
      </c>
      <c r="B1300" s="9">
        <v>45574</v>
      </c>
      <c r="C1300" s="12" t="s">
        <v>3</v>
      </c>
      <c r="D1300" s="12" t="s">
        <v>3896</v>
      </c>
      <c r="E1300" s="12" t="s">
        <v>3</v>
      </c>
      <c r="F1300" s="12" t="s">
        <v>3897</v>
      </c>
    </row>
    <row x14ac:dyDescent="0.25" r="1301" customHeight="1" ht="18.75" hidden="1">
      <c r="A1301" s="12" t="s">
        <v>3898</v>
      </c>
      <c r="B1301" s="9">
        <v>45573</v>
      </c>
      <c r="C1301" s="12" t="s">
        <v>2</v>
      </c>
      <c r="D1301" s="12" t="s">
        <v>3899</v>
      </c>
      <c r="E1301" s="12" t="s">
        <v>2</v>
      </c>
      <c r="F1301" s="12" t="s">
        <v>3900</v>
      </c>
    </row>
    <row x14ac:dyDescent="0.25" r="1302" customHeight="1" ht="18.75" hidden="1">
      <c r="A1302" s="12" t="s">
        <v>3901</v>
      </c>
      <c r="B1302" s="9">
        <v>45573</v>
      </c>
      <c r="C1302" s="12" t="s">
        <v>101</v>
      </c>
      <c r="D1302" s="12" t="s">
        <v>3902</v>
      </c>
      <c r="E1302" s="12" t="s">
        <v>2</v>
      </c>
      <c r="F1302" s="12" t="s">
        <v>3903</v>
      </c>
    </row>
    <row x14ac:dyDescent="0.25" r="1303" customHeight="1" ht="18.75" hidden="1">
      <c r="A1303" s="12" t="s">
        <v>3904</v>
      </c>
      <c r="B1303" s="9">
        <v>45573</v>
      </c>
      <c r="C1303" s="12" t="s">
        <v>2</v>
      </c>
      <c r="D1303" s="12" t="s">
        <v>3905</v>
      </c>
      <c r="E1303" s="12" t="s">
        <v>2</v>
      </c>
      <c r="F1303" s="12" t="s">
        <v>3906</v>
      </c>
    </row>
    <row x14ac:dyDescent="0.25" r="1304" customHeight="1" ht="18.75" hidden="1">
      <c r="A1304" s="12" t="s">
        <v>3907</v>
      </c>
      <c r="B1304" s="9">
        <v>45573</v>
      </c>
      <c r="C1304" s="12" t="s">
        <v>3</v>
      </c>
      <c r="D1304" s="12" t="s">
        <v>3908</v>
      </c>
      <c r="E1304" s="12" t="s">
        <v>3</v>
      </c>
      <c r="F1304" s="12" t="s">
        <v>3909</v>
      </c>
    </row>
    <row x14ac:dyDescent="0.25" r="1305" customHeight="1" ht="18.75" hidden="1">
      <c r="A1305" s="12" t="s">
        <v>3910</v>
      </c>
      <c r="B1305" s="9">
        <v>45572</v>
      </c>
      <c r="C1305" s="12" t="s">
        <v>2</v>
      </c>
      <c r="D1305" s="12" t="s">
        <v>3911</v>
      </c>
      <c r="E1305" s="12" t="s">
        <v>2</v>
      </c>
      <c r="F1305" s="12" t="s">
        <v>3912</v>
      </c>
    </row>
    <row x14ac:dyDescent="0.25" r="1306" customHeight="1" ht="18.75" hidden="1">
      <c r="A1306" s="12" t="s">
        <v>3913</v>
      </c>
      <c r="B1306" s="9">
        <v>45572</v>
      </c>
      <c r="C1306" s="12" t="s">
        <v>3</v>
      </c>
      <c r="D1306" s="12" t="s">
        <v>3914</v>
      </c>
      <c r="E1306" s="12" t="s">
        <v>3</v>
      </c>
      <c r="F1306" s="12" t="s">
        <v>3915</v>
      </c>
    </row>
    <row x14ac:dyDescent="0.25" r="1307" customHeight="1" ht="18.75" hidden="1">
      <c r="A1307" s="12" t="s">
        <v>3916</v>
      </c>
      <c r="B1307" s="9">
        <v>45572</v>
      </c>
      <c r="C1307" s="12" t="s">
        <v>2</v>
      </c>
      <c r="D1307" s="12" t="s">
        <v>3917</v>
      </c>
      <c r="E1307" s="12" t="s">
        <v>2</v>
      </c>
      <c r="F1307" s="12" t="s">
        <v>3918</v>
      </c>
    </row>
    <row x14ac:dyDescent="0.25" r="1308" customHeight="1" ht="18.75">
      <c r="A1308" s="12" t="s">
        <v>3919</v>
      </c>
      <c r="B1308" s="9">
        <v>45572</v>
      </c>
      <c r="C1308" s="12" t="s">
        <v>13</v>
      </c>
      <c r="D1308" s="12" t="s">
        <v>3920</v>
      </c>
      <c r="E1308" s="12" t="s">
        <v>13</v>
      </c>
      <c r="F1308" s="12" t="s">
        <v>3921</v>
      </c>
    </row>
    <row x14ac:dyDescent="0.25" r="1309" customHeight="1" ht="18.75" hidden="1">
      <c r="A1309" s="12" t="s">
        <v>3922</v>
      </c>
      <c r="B1309" s="9">
        <v>45572</v>
      </c>
      <c r="C1309" s="12" t="s">
        <v>2</v>
      </c>
      <c r="D1309" s="12" t="s">
        <v>3923</v>
      </c>
      <c r="E1309" s="12" t="s">
        <v>2</v>
      </c>
      <c r="F1309" s="12" t="s">
        <v>3924</v>
      </c>
    </row>
    <row x14ac:dyDescent="0.25" r="1310" customHeight="1" ht="18.75" hidden="1">
      <c r="A1310" s="12" t="s">
        <v>3925</v>
      </c>
      <c r="B1310" s="9">
        <v>45572</v>
      </c>
      <c r="C1310" s="12" t="s">
        <v>3</v>
      </c>
      <c r="D1310" s="12" t="s">
        <v>3926</v>
      </c>
      <c r="E1310" s="12" t="s">
        <v>3</v>
      </c>
      <c r="F1310" s="12" t="s">
        <v>3927</v>
      </c>
    </row>
    <row x14ac:dyDescent="0.25" r="1311" customHeight="1" ht="18.75" hidden="1">
      <c r="A1311" s="12" t="s">
        <v>3928</v>
      </c>
      <c r="B1311" s="9">
        <v>45571</v>
      </c>
      <c r="C1311" s="12" t="s">
        <v>3</v>
      </c>
      <c r="D1311" s="12" t="s">
        <v>3929</v>
      </c>
      <c r="E1311" s="12" t="s">
        <v>3</v>
      </c>
      <c r="F1311" s="12" t="s">
        <v>3930</v>
      </c>
    </row>
    <row x14ac:dyDescent="0.25" r="1312" customHeight="1" ht="18.75" hidden="1">
      <c r="A1312" s="12" t="s">
        <v>3931</v>
      </c>
      <c r="B1312" s="9">
        <v>45571</v>
      </c>
      <c r="C1312" s="12" t="s">
        <v>2</v>
      </c>
      <c r="D1312" s="12" t="s">
        <v>3932</v>
      </c>
      <c r="E1312" s="12" t="s">
        <v>2</v>
      </c>
      <c r="F1312" s="12" t="s">
        <v>3933</v>
      </c>
    </row>
    <row x14ac:dyDescent="0.25" r="1313" customHeight="1" ht="18.75" hidden="1">
      <c r="A1313" s="12" t="s">
        <v>3934</v>
      </c>
      <c r="B1313" s="9">
        <v>45571</v>
      </c>
      <c r="C1313" s="12" t="s">
        <v>2</v>
      </c>
      <c r="D1313" s="12" t="s">
        <v>3935</v>
      </c>
      <c r="E1313" s="12" t="s">
        <v>2</v>
      </c>
      <c r="F1313" s="12" t="s">
        <v>3936</v>
      </c>
    </row>
    <row x14ac:dyDescent="0.25" r="1314" customHeight="1" ht="18.75">
      <c r="A1314" s="12" t="s">
        <v>3937</v>
      </c>
      <c r="B1314" s="9">
        <v>45571</v>
      </c>
      <c r="C1314" s="12" t="s">
        <v>101</v>
      </c>
      <c r="D1314" s="12" t="s">
        <v>3938</v>
      </c>
      <c r="E1314" s="12" t="s">
        <v>13</v>
      </c>
      <c r="F1314" s="12" t="s">
        <v>3939</v>
      </c>
    </row>
    <row x14ac:dyDescent="0.25" r="1315" customHeight="1" ht="18.75">
      <c r="A1315" s="12" t="s">
        <v>3940</v>
      </c>
      <c r="B1315" s="9">
        <v>45571</v>
      </c>
      <c r="C1315" s="12" t="s">
        <v>13</v>
      </c>
      <c r="D1315" s="12" t="s">
        <v>3941</v>
      </c>
      <c r="E1315" s="12" t="s">
        <v>13</v>
      </c>
      <c r="F1315" s="12" t="s">
        <v>3942</v>
      </c>
    </row>
    <row x14ac:dyDescent="0.25" r="1316" customHeight="1" ht="18.75" hidden="1">
      <c r="A1316" s="12" t="s">
        <v>3943</v>
      </c>
      <c r="B1316" s="9">
        <v>45570</v>
      </c>
      <c r="C1316" s="12" t="s">
        <v>2</v>
      </c>
      <c r="D1316" s="12" t="s">
        <v>3944</v>
      </c>
      <c r="E1316" s="12" t="s">
        <v>2</v>
      </c>
      <c r="F1316" s="12" t="s">
        <v>3945</v>
      </c>
    </row>
    <row x14ac:dyDescent="0.25" r="1317" customHeight="1" ht="18.75" hidden="1">
      <c r="A1317" s="12" t="s">
        <v>3946</v>
      </c>
      <c r="B1317" s="9">
        <v>45569</v>
      </c>
      <c r="C1317" s="12" t="s">
        <v>2</v>
      </c>
      <c r="D1317" s="12" t="s">
        <v>3947</v>
      </c>
      <c r="E1317" s="12" t="s">
        <v>2</v>
      </c>
      <c r="F1317" s="12" t="s">
        <v>3948</v>
      </c>
    </row>
    <row x14ac:dyDescent="0.25" r="1318" customHeight="1" ht="18.75" hidden="1">
      <c r="A1318" s="12" t="s">
        <v>3949</v>
      </c>
      <c r="B1318" s="9">
        <v>45569</v>
      </c>
      <c r="C1318" s="12" t="s">
        <v>2</v>
      </c>
      <c r="D1318" s="12" t="s">
        <v>3950</v>
      </c>
      <c r="E1318" s="12" t="s">
        <v>2</v>
      </c>
      <c r="F1318" s="12" t="s">
        <v>3951</v>
      </c>
    </row>
    <row x14ac:dyDescent="0.25" r="1319" customHeight="1" ht="18.75" hidden="1">
      <c r="A1319" s="12" t="s">
        <v>3952</v>
      </c>
      <c r="B1319" s="9">
        <v>45569</v>
      </c>
      <c r="C1319" s="12" t="s">
        <v>2</v>
      </c>
      <c r="D1319" s="12" t="s">
        <v>3953</v>
      </c>
      <c r="E1319" s="12" t="s">
        <v>2</v>
      </c>
      <c r="F1319" s="12" t="s">
        <v>3954</v>
      </c>
    </row>
    <row x14ac:dyDescent="0.25" r="1320" customHeight="1" ht="18.75" hidden="1">
      <c r="A1320" s="12" t="s">
        <v>3955</v>
      </c>
      <c r="B1320" s="9">
        <v>45569</v>
      </c>
      <c r="C1320" s="12" t="s">
        <v>2</v>
      </c>
      <c r="D1320" s="12" t="s">
        <v>3956</v>
      </c>
      <c r="E1320" s="12" t="s">
        <v>2</v>
      </c>
      <c r="F1320" s="12" t="s">
        <v>3957</v>
      </c>
    </row>
    <row x14ac:dyDescent="0.25" r="1321" customHeight="1" ht="18.75" hidden="1">
      <c r="A1321" s="12" t="s">
        <v>3958</v>
      </c>
      <c r="B1321" s="9">
        <v>45569</v>
      </c>
      <c r="C1321" s="12" t="s">
        <v>2</v>
      </c>
      <c r="D1321" s="12" t="s">
        <v>3959</v>
      </c>
      <c r="E1321" s="12" t="s">
        <v>2</v>
      </c>
      <c r="F1321" s="12" t="s">
        <v>3960</v>
      </c>
    </row>
    <row x14ac:dyDescent="0.25" r="1322" customHeight="1" ht="18.75" hidden="1">
      <c r="A1322" s="12" t="s">
        <v>3961</v>
      </c>
      <c r="B1322" s="9">
        <v>45569</v>
      </c>
      <c r="C1322" s="12" t="s">
        <v>2</v>
      </c>
      <c r="D1322" s="12" t="s">
        <v>3962</v>
      </c>
      <c r="E1322" s="12" t="s">
        <v>2</v>
      </c>
      <c r="F1322" s="12" t="s">
        <v>3963</v>
      </c>
    </row>
    <row x14ac:dyDescent="0.25" r="1323" customHeight="1" ht="18.75" hidden="1">
      <c r="A1323" s="12" t="s">
        <v>3964</v>
      </c>
      <c r="B1323" s="9">
        <v>45568</v>
      </c>
      <c r="C1323" s="12" t="s">
        <v>2</v>
      </c>
      <c r="D1323" s="12" t="s">
        <v>3965</v>
      </c>
      <c r="E1323" s="12" t="s">
        <v>2</v>
      </c>
      <c r="F1323" s="12" t="s">
        <v>3966</v>
      </c>
    </row>
    <row x14ac:dyDescent="0.25" r="1324" customHeight="1" ht="18.75" hidden="1">
      <c r="A1324" s="12" t="s">
        <v>3967</v>
      </c>
      <c r="B1324" s="9">
        <v>45568</v>
      </c>
      <c r="C1324" s="12" t="s">
        <v>2</v>
      </c>
      <c r="D1324" s="12" t="s">
        <v>3968</v>
      </c>
      <c r="E1324" s="12" t="s">
        <v>2</v>
      </c>
      <c r="F1324" s="12" t="s">
        <v>3969</v>
      </c>
    </row>
    <row x14ac:dyDescent="0.25" r="1325" customHeight="1" ht="18.75" hidden="1">
      <c r="A1325" s="12" t="s">
        <v>3970</v>
      </c>
      <c r="B1325" s="9">
        <v>45568</v>
      </c>
      <c r="C1325" s="12" t="s">
        <v>2</v>
      </c>
      <c r="D1325" s="12" t="s">
        <v>3971</v>
      </c>
      <c r="E1325" s="12" t="s">
        <v>2</v>
      </c>
      <c r="F1325" s="12" t="s">
        <v>3972</v>
      </c>
    </row>
    <row x14ac:dyDescent="0.25" r="1326" customHeight="1" ht="18.75" hidden="1">
      <c r="A1326" s="12" t="s">
        <v>3973</v>
      </c>
      <c r="B1326" s="9">
        <v>45568</v>
      </c>
      <c r="C1326" s="12" t="s">
        <v>3</v>
      </c>
      <c r="D1326" s="12" t="s">
        <v>3974</v>
      </c>
      <c r="E1326" s="12" t="s">
        <v>3</v>
      </c>
      <c r="F1326" s="12" t="s">
        <v>3975</v>
      </c>
    </row>
    <row x14ac:dyDescent="0.25" r="1327" customHeight="1" ht="18.75" hidden="1">
      <c r="A1327" s="12" t="s">
        <v>3976</v>
      </c>
      <c r="B1327" s="9">
        <v>45568</v>
      </c>
      <c r="C1327" s="12" t="s">
        <v>2</v>
      </c>
      <c r="D1327" s="12" t="s">
        <v>3977</v>
      </c>
      <c r="E1327" s="12" t="s">
        <v>2</v>
      </c>
      <c r="F1327" s="12" t="s">
        <v>3978</v>
      </c>
    </row>
    <row x14ac:dyDescent="0.25" r="1328" customHeight="1" ht="18.75" hidden="1">
      <c r="A1328" s="12" t="s">
        <v>3979</v>
      </c>
      <c r="B1328" s="9">
        <v>45568</v>
      </c>
      <c r="C1328" s="12" t="s">
        <v>2</v>
      </c>
      <c r="D1328" s="12" t="s">
        <v>3980</v>
      </c>
      <c r="E1328" s="12" t="s">
        <v>2</v>
      </c>
      <c r="F1328" s="12" t="s">
        <v>3981</v>
      </c>
    </row>
    <row x14ac:dyDescent="0.25" r="1329" customHeight="1" ht="18.75" hidden="1">
      <c r="A1329" s="12" t="s">
        <v>3982</v>
      </c>
      <c r="B1329" s="9">
        <v>45567</v>
      </c>
      <c r="C1329" s="12" t="s">
        <v>3</v>
      </c>
      <c r="D1329" s="12" t="s">
        <v>3983</v>
      </c>
      <c r="E1329" s="12" t="s">
        <v>3</v>
      </c>
      <c r="F1329" s="12" t="s">
        <v>3984</v>
      </c>
    </row>
    <row x14ac:dyDescent="0.25" r="1330" customHeight="1" ht="18.75" hidden="1">
      <c r="A1330" s="12" t="s">
        <v>3985</v>
      </c>
      <c r="B1330" s="9">
        <v>45567</v>
      </c>
      <c r="C1330" s="12" t="s">
        <v>2</v>
      </c>
      <c r="D1330" s="12" t="s">
        <v>3986</v>
      </c>
      <c r="E1330" s="12" t="s">
        <v>2</v>
      </c>
      <c r="F1330" s="12" t="s">
        <v>3987</v>
      </c>
    </row>
    <row x14ac:dyDescent="0.25" r="1331" customHeight="1" ht="18.75" hidden="1">
      <c r="A1331" s="12" t="s">
        <v>3988</v>
      </c>
      <c r="B1331" s="9">
        <v>45567</v>
      </c>
      <c r="C1331" s="12" t="s">
        <v>3</v>
      </c>
      <c r="D1331" s="12" t="s">
        <v>3989</v>
      </c>
      <c r="E1331" s="12" t="s">
        <v>3</v>
      </c>
      <c r="F1331" s="12" t="s">
        <v>3990</v>
      </c>
    </row>
    <row x14ac:dyDescent="0.25" r="1332" customHeight="1" ht="18.75" hidden="1">
      <c r="A1332" s="12" t="s">
        <v>3991</v>
      </c>
      <c r="B1332" s="9">
        <v>45567</v>
      </c>
      <c r="C1332" s="12" t="s">
        <v>2</v>
      </c>
      <c r="D1332" s="12" t="s">
        <v>3992</v>
      </c>
      <c r="E1332" s="12" t="s">
        <v>2</v>
      </c>
      <c r="F1332" s="12" t="s">
        <v>3993</v>
      </c>
    </row>
    <row x14ac:dyDescent="0.25" r="1333" customHeight="1" ht="18.75" hidden="1">
      <c r="A1333" s="12" t="s">
        <v>3994</v>
      </c>
      <c r="B1333" s="9">
        <v>45567</v>
      </c>
      <c r="C1333" s="12" t="s">
        <v>3</v>
      </c>
      <c r="D1333" s="12" t="s">
        <v>3995</v>
      </c>
      <c r="E1333" s="12" t="s">
        <v>3</v>
      </c>
      <c r="F1333" s="12" t="s">
        <v>3996</v>
      </c>
    </row>
    <row x14ac:dyDescent="0.25" r="1334" customHeight="1" ht="18.75" hidden="1">
      <c r="A1334" s="12" t="s">
        <v>3997</v>
      </c>
      <c r="B1334" s="9">
        <v>45567</v>
      </c>
      <c r="C1334" s="12" t="s">
        <v>2</v>
      </c>
      <c r="D1334" s="12" t="s">
        <v>3998</v>
      </c>
      <c r="E1334" s="12" t="s">
        <v>2</v>
      </c>
      <c r="F1334" s="12" t="s">
        <v>3999</v>
      </c>
    </row>
    <row x14ac:dyDescent="0.25" r="1335" customHeight="1" ht="18.75" hidden="1">
      <c r="A1335" s="12" t="s">
        <v>4000</v>
      </c>
      <c r="B1335" s="9">
        <v>45567</v>
      </c>
      <c r="C1335" s="12" t="s">
        <v>2</v>
      </c>
      <c r="D1335" s="12" t="s">
        <v>4001</v>
      </c>
      <c r="E1335" s="12" t="s">
        <v>2</v>
      </c>
      <c r="F1335" s="12" t="s">
        <v>4002</v>
      </c>
    </row>
    <row x14ac:dyDescent="0.25" r="1336" customHeight="1" ht="18.75" hidden="1">
      <c r="A1336" s="12" t="s">
        <v>4003</v>
      </c>
      <c r="B1336" s="9">
        <v>45567</v>
      </c>
      <c r="C1336" s="12" t="s">
        <v>2</v>
      </c>
      <c r="D1336" s="12" t="s">
        <v>4004</v>
      </c>
      <c r="E1336" s="12" t="s">
        <v>2</v>
      </c>
      <c r="F1336" s="12" t="s">
        <v>4005</v>
      </c>
    </row>
    <row x14ac:dyDescent="0.25" r="1337" customHeight="1" ht="18.75" hidden="1">
      <c r="A1337" s="12" t="s">
        <v>4006</v>
      </c>
      <c r="B1337" s="9">
        <v>45567</v>
      </c>
      <c r="C1337" s="12" t="s">
        <v>3</v>
      </c>
      <c r="D1337" s="12" t="s">
        <v>4007</v>
      </c>
      <c r="E1337" s="12" t="s">
        <v>3</v>
      </c>
      <c r="F1337" s="12" t="s">
        <v>4008</v>
      </c>
    </row>
    <row x14ac:dyDescent="0.25" r="1338" customHeight="1" ht="18.75">
      <c r="A1338" s="12" t="s">
        <v>4009</v>
      </c>
      <c r="B1338" s="9">
        <v>45566</v>
      </c>
      <c r="C1338" s="12" t="s">
        <v>101</v>
      </c>
      <c r="D1338" s="12" t="s">
        <v>4010</v>
      </c>
      <c r="E1338" s="12" t="s">
        <v>13</v>
      </c>
      <c r="F1338" s="12" t="s">
        <v>4011</v>
      </c>
    </row>
    <row x14ac:dyDescent="0.25" r="1339" customHeight="1" ht="18.75" hidden="1">
      <c r="A1339" s="12" t="s">
        <v>4012</v>
      </c>
      <c r="B1339" s="9">
        <v>45566</v>
      </c>
      <c r="C1339" s="12" t="s">
        <v>2</v>
      </c>
      <c r="D1339" s="12" t="s">
        <v>4013</v>
      </c>
      <c r="E1339" s="12" t="s">
        <v>2</v>
      </c>
      <c r="F1339" s="12" t="s">
        <v>4014</v>
      </c>
    </row>
    <row x14ac:dyDescent="0.25" r="1340" customHeight="1" ht="18.75" hidden="1">
      <c r="A1340" s="12" t="s">
        <v>4015</v>
      </c>
      <c r="B1340" s="9">
        <v>45566</v>
      </c>
      <c r="C1340" s="12" t="s">
        <v>2</v>
      </c>
      <c r="D1340" s="12" t="s">
        <v>4016</v>
      </c>
      <c r="E1340" s="12" t="s">
        <v>2</v>
      </c>
      <c r="F1340" s="12" t="s">
        <v>4017</v>
      </c>
    </row>
    <row x14ac:dyDescent="0.25" r="1341" customHeight="1" ht="18.75">
      <c r="A1341" s="12" t="s">
        <v>4018</v>
      </c>
      <c r="B1341" s="9">
        <v>45566</v>
      </c>
      <c r="C1341" s="12" t="s">
        <v>13</v>
      </c>
      <c r="D1341" s="12" t="s">
        <v>4019</v>
      </c>
      <c r="E1341" s="12" t="s">
        <v>13</v>
      </c>
      <c r="F1341" s="12" t="s">
        <v>4020</v>
      </c>
    </row>
    <row x14ac:dyDescent="0.25" r="1342" customHeight="1" ht="18.75" hidden="1">
      <c r="A1342" s="12" t="s">
        <v>4021</v>
      </c>
      <c r="B1342" s="9">
        <v>45566</v>
      </c>
      <c r="C1342" s="12" t="s">
        <v>2</v>
      </c>
      <c r="D1342" s="12" t="s">
        <v>4022</v>
      </c>
      <c r="E1342" s="12" t="s">
        <v>2</v>
      </c>
      <c r="F1342" s="12" t="s">
        <v>4023</v>
      </c>
    </row>
    <row x14ac:dyDescent="0.25" r="1343" customHeight="1" ht="18.75" hidden="1">
      <c r="A1343" s="12" t="s">
        <v>4024</v>
      </c>
      <c r="B1343" s="9">
        <v>45566</v>
      </c>
      <c r="C1343" s="12" t="s">
        <v>2</v>
      </c>
      <c r="D1343" s="12" t="s">
        <v>4025</v>
      </c>
      <c r="E1343" s="12" t="s">
        <v>2</v>
      </c>
      <c r="F1343" s="12" t="s">
        <v>4026</v>
      </c>
    </row>
    <row x14ac:dyDescent="0.25" r="1344" customHeight="1" ht="18.75" hidden="1">
      <c r="A1344" s="12" t="s">
        <v>4027</v>
      </c>
      <c r="B1344" s="9">
        <v>45565</v>
      </c>
      <c r="C1344" s="12" t="s">
        <v>2</v>
      </c>
      <c r="D1344" s="12" t="s">
        <v>4028</v>
      </c>
      <c r="E1344" s="12" t="s">
        <v>2</v>
      </c>
      <c r="F1344" s="12" t="s">
        <v>4029</v>
      </c>
    </row>
    <row x14ac:dyDescent="0.25" r="1345" customHeight="1" ht="18.75">
      <c r="A1345" s="12" t="s">
        <v>4030</v>
      </c>
      <c r="B1345" s="9">
        <v>45565</v>
      </c>
      <c r="C1345" s="12" t="s">
        <v>13</v>
      </c>
      <c r="D1345" s="12" t="s">
        <v>4031</v>
      </c>
      <c r="E1345" s="12" t="s">
        <v>13</v>
      </c>
      <c r="F1345" s="12" t="s">
        <v>4032</v>
      </c>
    </row>
    <row x14ac:dyDescent="0.25" r="1346" customHeight="1" ht="18.75" hidden="1">
      <c r="A1346" s="12" t="s">
        <v>4033</v>
      </c>
      <c r="B1346" s="9">
        <v>45565</v>
      </c>
      <c r="C1346" s="12" t="s">
        <v>3</v>
      </c>
      <c r="D1346" s="12" t="s">
        <v>4034</v>
      </c>
      <c r="E1346" s="12" t="s">
        <v>3</v>
      </c>
      <c r="F1346" s="12" t="s">
        <v>4035</v>
      </c>
    </row>
    <row x14ac:dyDescent="0.25" r="1347" customHeight="1" ht="18.75" hidden="1">
      <c r="A1347" s="12" t="s">
        <v>4036</v>
      </c>
      <c r="B1347" s="9">
        <v>45563</v>
      </c>
      <c r="C1347" s="12" t="s">
        <v>3</v>
      </c>
      <c r="D1347" s="12" t="s">
        <v>4037</v>
      </c>
      <c r="E1347" s="12" t="s">
        <v>3</v>
      </c>
      <c r="F1347" s="12" t="s">
        <v>4038</v>
      </c>
    </row>
    <row x14ac:dyDescent="0.25" r="1348" customHeight="1" ht="18.75" hidden="1">
      <c r="A1348" s="12" t="s">
        <v>4039</v>
      </c>
      <c r="B1348" s="9">
        <v>45563</v>
      </c>
      <c r="C1348" s="12" t="s">
        <v>3</v>
      </c>
      <c r="D1348" s="12" t="s">
        <v>4040</v>
      </c>
      <c r="E1348" s="12" t="s">
        <v>3</v>
      </c>
      <c r="F1348" s="12" t="s">
        <v>4041</v>
      </c>
    </row>
    <row x14ac:dyDescent="0.25" r="1349" customHeight="1" ht="18.75" hidden="1">
      <c r="A1349" s="12" t="s">
        <v>4042</v>
      </c>
      <c r="B1349" s="9">
        <v>45562</v>
      </c>
      <c r="C1349" s="12" t="s">
        <v>2</v>
      </c>
      <c r="D1349" s="12" t="s">
        <v>4043</v>
      </c>
      <c r="E1349" s="12" t="s">
        <v>2</v>
      </c>
      <c r="F1349" s="12" t="s">
        <v>4044</v>
      </c>
    </row>
    <row x14ac:dyDescent="0.25" r="1350" customHeight="1" ht="18.75" hidden="1">
      <c r="A1350" s="12" t="s">
        <v>4045</v>
      </c>
      <c r="B1350" s="9">
        <v>45562</v>
      </c>
      <c r="C1350" s="12" t="s">
        <v>2</v>
      </c>
      <c r="D1350" s="12" t="s">
        <v>4046</v>
      </c>
      <c r="E1350" s="12" t="s">
        <v>2</v>
      </c>
      <c r="F1350" s="12" t="s">
        <v>4047</v>
      </c>
    </row>
    <row x14ac:dyDescent="0.25" r="1351" customHeight="1" ht="18.75" hidden="1">
      <c r="A1351" s="12" t="s">
        <v>4048</v>
      </c>
      <c r="B1351" s="9">
        <v>45562</v>
      </c>
      <c r="C1351" s="12" t="s">
        <v>3</v>
      </c>
      <c r="D1351" s="12" t="s">
        <v>4049</v>
      </c>
      <c r="E1351" s="12" t="s">
        <v>3</v>
      </c>
      <c r="F1351" s="12" t="s">
        <v>4050</v>
      </c>
    </row>
    <row x14ac:dyDescent="0.25" r="1352" customHeight="1" ht="18.75" hidden="1">
      <c r="A1352" s="12" t="s">
        <v>4051</v>
      </c>
      <c r="B1352" s="9">
        <v>45562</v>
      </c>
      <c r="C1352" s="12" t="s">
        <v>3</v>
      </c>
      <c r="D1352" s="12" t="s">
        <v>4052</v>
      </c>
      <c r="E1352" s="12" t="s">
        <v>3</v>
      </c>
      <c r="F1352" s="12" t="s">
        <v>4053</v>
      </c>
    </row>
    <row x14ac:dyDescent="0.25" r="1353" customHeight="1" ht="18.75" hidden="1">
      <c r="A1353" s="12" t="s">
        <v>4054</v>
      </c>
      <c r="B1353" s="9">
        <v>45562</v>
      </c>
      <c r="C1353" s="12" t="s">
        <v>3</v>
      </c>
      <c r="D1353" s="12" t="s">
        <v>4055</v>
      </c>
      <c r="E1353" s="12" t="s">
        <v>3</v>
      </c>
      <c r="F1353" s="12" t="s">
        <v>4056</v>
      </c>
    </row>
    <row x14ac:dyDescent="0.25" r="1354" customHeight="1" ht="18.75" hidden="1">
      <c r="A1354" s="12" t="s">
        <v>4057</v>
      </c>
      <c r="B1354" s="9">
        <v>45562</v>
      </c>
      <c r="C1354" s="12" t="s">
        <v>3</v>
      </c>
      <c r="D1354" s="12" t="s">
        <v>4058</v>
      </c>
      <c r="E1354" s="12" t="s">
        <v>3</v>
      </c>
      <c r="F1354" s="12" t="s">
        <v>4059</v>
      </c>
    </row>
    <row x14ac:dyDescent="0.25" r="1355" customHeight="1" ht="18.75" hidden="1">
      <c r="A1355" s="12" t="s">
        <v>4060</v>
      </c>
      <c r="B1355" s="9">
        <v>45561</v>
      </c>
      <c r="C1355" s="12" t="s">
        <v>3</v>
      </c>
      <c r="D1355" s="12" t="s">
        <v>4061</v>
      </c>
      <c r="E1355" s="12" t="s">
        <v>3</v>
      </c>
      <c r="F1355" s="12" t="s">
        <v>4062</v>
      </c>
    </row>
    <row x14ac:dyDescent="0.25" r="1356" customHeight="1" ht="18.75" hidden="1">
      <c r="A1356" s="12" t="s">
        <v>4063</v>
      </c>
      <c r="B1356" s="9">
        <v>45561</v>
      </c>
      <c r="C1356" s="12" t="s">
        <v>3</v>
      </c>
      <c r="D1356" s="12" t="s">
        <v>4064</v>
      </c>
      <c r="E1356" s="12" t="s">
        <v>3</v>
      </c>
      <c r="F1356" s="12" t="s">
        <v>4065</v>
      </c>
    </row>
    <row x14ac:dyDescent="0.25" r="1357" customHeight="1" ht="18.75" hidden="1">
      <c r="A1357" s="12" t="s">
        <v>4066</v>
      </c>
      <c r="B1357" s="9">
        <v>45561</v>
      </c>
      <c r="C1357" s="12" t="s">
        <v>3</v>
      </c>
      <c r="D1357" s="12" t="s">
        <v>4067</v>
      </c>
      <c r="E1357" s="12" t="s">
        <v>3</v>
      </c>
      <c r="F1357" s="12" t="s">
        <v>4068</v>
      </c>
    </row>
    <row x14ac:dyDescent="0.25" r="1358" customHeight="1" ht="18.75" hidden="1">
      <c r="A1358" s="12" t="s">
        <v>4069</v>
      </c>
      <c r="B1358" s="9">
        <v>45561</v>
      </c>
      <c r="C1358" s="12" t="s">
        <v>3</v>
      </c>
      <c r="D1358" s="12" t="s">
        <v>4070</v>
      </c>
      <c r="E1358" s="12" t="s">
        <v>3</v>
      </c>
      <c r="F1358" s="12" t="s">
        <v>4071</v>
      </c>
    </row>
    <row x14ac:dyDescent="0.25" r="1359" customHeight="1" ht="18.75" hidden="1">
      <c r="A1359" s="12" t="s">
        <v>4072</v>
      </c>
      <c r="B1359" s="9">
        <v>45561</v>
      </c>
      <c r="C1359" s="12" t="s">
        <v>3</v>
      </c>
      <c r="D1359" s="12" t="s">
        <v>4073</v>
      </c>
      <c r="E1359" s="12" t="s">
        <v>3</v>
      </c>
      <c r="F1359" s="12" t="s">
        <v>4074</v>
      </c>
    </row>
    <row x14ac:dyDescent="0.25" r="1360" customHeight="1" ht="18.75" hidden="1">
      <c r="A1360" s="12" t="s">
        <v>4075</v>
      </c>
      <c r="B1360" s="9">
        <v>45561</v>
      </c>
      <c r="C1360" s="12" t="s">
        <v>3</v>
      </c>
      <c r="D1360" s="12" t="s">
        <v>4076</v>
      </c>
      <c r="E1360" s="12" t="s">
        <v>3</v>
      </c>
      <c r="F1360" s="12" t="s">
        <v>4077</v>
      </c>
    </row>
    <row x14ac:dyDescent="0.25" r="1361" customHeight="1" ht="18.75" hidden="1">
      <c r="A1361" s="12" t="s">
        <v>4078</v>
      </c>
      <c r="B1361" s="9">
        <v>45561</v>
      </c>
      <c r="C1361" s="12" t="s">
        <v>3</v>
      </c>
      <c r="D1361" s="12" t="s">
        <v>4079</v>
      </c>
      <c r="E1361" s="12" t="s">
        <v>3</v>
      </c>
      <c r="F1361" s="12" t="s">
        <v>4080</v>
      </c>
    </row>
    <row x14ac:dyDescent="0.25" r="1362" customHeight="1" ht="18.75" hidden="1">
      <c r="A1362" s="12" t="s">
        <v>4081</v>
      </c>
      <c r="B1362" s="9">
        <v>45561</v>
      </c>
      <c r="C1362" s="12" t="s">
        <v>3</v>
      </c>
      <c r="D1362" s="12" t="s">
        <v>4082</v>
      </c>
      <c r="E1362" s="12" t="s">
        <v>3</v>
      </c>
      <c r="F1362" s="12" t="s">
        <v>4083</v>
      </c>
    </row>
    <row x14ac:dyDescent="0.25" r="1363" customHeight="1" ht="18.75">
      <c r="A1363" s="12" t="s">
        <v>4084</v>
      </c>
      <c r="B1363" s="9">
        <v>45561</v>
      </c>
      <c r="C1363" s="12" t="s">
        <v>13</v>
      </c>
      <c r="D1363" s="12" t="s">
        <v>4085</v>
      </c>
      <c r="E1363" s="12" t="s">
        <v>13</v>
      </c>
      <c r="F1363" s="12" t="s">
        <v>4086</v>
      </c>
    </row>
    <row x14ac:dyDescent="0.25" r="1364" customHeight="1" ht="18.75">
      <c r="A1364" s="12" t="s">
        <v>4087</v>
      </c>
      <c r="B1364" s="9">
        <v>45560</v>
      </c>
      <c r="C1364" s="12" t="s">
        <v>13</v>
      </c>
      <c r="D1364" s="12" t="s">
        <v>4088</v>
      </c>
      <c r="E1364" s="12" t="s">
        <v>13</v>
      </c>
      <c r="F1364" s="12" t="s">
        <v>4089</v>
      </c>
    </row>
    <row x14ac:dyDescent="0.25" r="1365" customHeight="1" ht="18.75" hidden="1">
      <c r="A1365" s="12" t="s">
        <v>4090</v>
      </c>
      <c r="B1365" s="9">
        <v>45560</v>
      </c>
      <c r="C1365" s="12" t="s">
        <v>3</v>
      </c>
      <c r="D1365" s="12" t="s">
        <v>4091</v>
      </c>
      <c r="E1365" s="12" t="s">
        <v>3</v>
      </c>
      <c r="F1365" s="12" t="s">
        <v>4092</v>
      </c>
    </row>
    <row x14ac:dyDescent="0.25" r="1366" customHeight="1" ht="18.75" hidden="1">
      <c r="A1366" s="12" t="s">
        <v>4093</v>
      </c>
      <c r="B1366" s="9">
        <v>45560</v>
      </c>
      <c r="C1366" s="12" t="s">
        <v>2</v>
      </c>
      <c r="D1366" s="12" t="s">
        <v>4094</v>
      </c>
      <c r="E1366" s="12" t="s">
        <v>2</v>
      </c>
      <c r="F1366" s="12" t="s">
        <v>4095</v>
      </c>
    </row>
    <row x14ac:dyDescent="0.25" r="1367" customHeight="1" ht="18.75" hidden="1">
      <c r="A1367" s="12" t="s">
        <v>4096</v>
      </c>
      <c r="B1367" s="9">
        <v>45560</v>
      </c>
      <c r="C1367" s="12" t="s">
        <v>3</v>
      </c>
      <c r="D1367" s="12" t="s">
        <v>4097</v>
      </c>
      <c r="E1367" s="12" t="s">
        <v>2</v>
      </c>
      <c r="F1367" s="12" t="s">
        <v>4098</v>
      </c>
    </row>
    <row x14ac:dyDescent="0.25" r="1368" customHeight="1" ht="18.75" hidden="1">
      <c r="A1368" s="12" t="s">
        <v>4099</v>
      </c>
      <c r="B1368" s="9">
        <v>45560</v>
      </c>
      <c r="C1368" s="12" t="s">
        <v>2</v>
      </c>
      <c r="D1368" s="12" t="s">
        <v>4100</v>
      </c>
      <c r="E1368" s="12" t="s">
        <v>2</v>
      </c>
      <c r="F1368" s="12" t="s">
        <v>4101</v>
      </c>
    </row>
    <row x14ac:dyDescent="0.25" r="1369" customHeight="1" ht="18.75" hidden="1">
      <c r="A1369" s="12" t="s">
        <v>4102</v>
      </c>
      <c r="B1369" s="9">
        <v>45560</v>
      </c>
      <c r="C1369" s="12" t="s">
        <v>3</v>
      </c>
      <c r="D1369" s="12" t="s">
        <v>4103</v>
      </c>
      <c r="E1369" s="12" t="s">
        <v>3</v>
      </c>
      <c r="F1369" s="12" t="s">
        <v>4104</v>
      </c>
    </row>
    <row x14ac:dyDescent="0.25" r="1370" customHeight="1" ht="18.75" hidden="1">
      <c r="A1370" s="12" t="s">
        <v>4105</v>
      </c>
      <c r="B1370" s="9">
        <v>45559</v>
      </c>
      <c r="C1370" s="12" t="s">
        <v>2</v>
      </c>
      <c r="D1370" s="12" t="s">
        <v>4106</v>
      </c>
      <c r="E1370" s="12" t="s">
        <v>2</v>
      </c>
      <c r="F1370" s="12" t="s">
        <v>4107</v>
      </c>
    </row>
    <row x14ac:dyDescent="0.25" r="1371" customHeight="1" ht="18.75" hidden="1">
      <c r="A1371" s="12" t="s">
        <v>4108</v>
      </c>
      <c r="B1371" s="9">
        <v>45559</v>
      </c>
      <c r="C1371" s="12" t="s">
        <v>2</v>
      </c>
      <c r="D1371" s="12" t="s">
        <v>4109</v>
      </c>
      <c r="E1371" s="12" t="s">
        <v>2</v>
      </c>
      <c r="F1371" s="12" t="s">
        <v>4110</v>
      </c>
    </row>
    <row x14ac:dyDescent="0.25" r="1372" customHeight="1" ht="18.75" hidden="1">
      <c r="A1372" s="12" t="s">
        <v>4111</v>
      </c>
      <c r="B1372" s="9">
        <v>45559</v>
      </c>
      <c r="C1372" s="12" t="s">
        <v>3</v>
      </c>
      <c r="D1372" s="12" t="s">
        <v>4112</v>
      </c>
      <c r="E1372" s="12" t="s">
        <v>3</v>
      </c>
      <c r="F1372" s="12" t="s">
        <v>4113</v>
      </c>
    </row>
    <row x14ac:dyDescent="0.25" r="1373" customHeight="1" ht="18.75" hidden="1">
      <c r="A1373" s="12" t="s">
        <v>4114</v>
      </c>
      <c r="B1373" s="9">
        <v>45558</v>
      </c>
      <c r="C1373" s="12" t="s">
        <v>3</v>
      </c>
      <c r="D1373" s="12" t="s">
        <v>4115</v>
      </c>
      <c r="E1373" s="12" t="s">
        <v>3</v>
      </c>
      <c r="F1373" s="12" t="s">
        <v>4116</v>
      </c>
    </row>
    <row x14ac:dyDescent="0.25" r="1374" customHeight="1" ht="18.75" hidden="1">
      <c r="A1374" s="12" t="s">
        <v>4117</v>
      </c>
      <c r="B1374" s="9">
        <v>45558</v>
      </c>
      <c r="C1374" s="12" t="s">
        <v>2</v>
      </c>
      <c r="D1374" s="12" t="s">
        <v>4118</v>
      </c>
      <c r="E1374" s="12" t="s">
        <v>2</v>
      </c>
      <c r="F1374" s="12" t="s">
        <v>4119</v>
      </c>
    </row>
    <row x14ac:dyDescent="0.25" r="1375" customHeight="1" ht="18.75" hidden="1">
      <c r="A1375" s="12" t="s">
        <v>4120</v>
      </c>
      <c r="B1375" s="9">
        <v>45558</v>
      </c>
      <c r="C1375" s="12" t="s">
        <v>3</v>
      </c>
      <c r="D1375" s="12" t="s">
        <v>4121</v>
      </c>
      <c r="E1375" s="12" t="s">
        <v>3</v>
      </c>
      <c r="F1375" s="12" t="s">
        <v>4122</v>
      </c>
    </row>
    <row x14ac:dyDescent="0.25" r="1376" customHeight="1" ht="18.75">
      <c r="A1376" s="12" t="s">
        <v>4123</v>
      </c>
      <c r="B1376" s="9">
        <v>45558</v>
      </c>
      <c r="C1376" s="12" t="s">
        <v>101</v>
      </c>
      <c r="D1376" s="12" t="s">
        <v>4124</v>
      </c>
      <c r="E1376" s="12" t="s">
        <v>13</v>
      </c>
      <c r="F1376" s="12" t="s">
        <v>4125</v>
      </c>
    </row>
    <row x14ac:dyDescent="0.25" r="1377" customHeight="1" ht="18.75" hidden="1">
      <c r="A1377" s="12" t="s">
        <v>4126</v>
      </c>
      <c r="B1377" s="9">
        <v>45558</v>
      </c>
      <c r="C1377" s="12" t="s">
        <v>2</v>
      </c>
      <c r="D1377" s="12" t="s">
        <v>4127</v>
      </c>
      <c r="E1377" s="12" t="s">
        <v>2</v>
      </c>
      <c r="F1377" s="12" t="s">
        <v>4128</v>
      </c>
    </row>
    <row x14ac:dyDescent="0.25" r="1378" customHeight="1" ht="18.75">
      <c r="A1378" s="12" t="s">
        <v>4129</v>
      </c>
      <c r="B1378" s="9">
        <v>45556</v>
      </c>
      <c r="C1378" s="12" t="s">
        <v>101</v>
      </c>
      <c r="D1378" s="12" t="s">
        <v>4130</v>
      </c>
      <c r="E1378" s="12" t="s">
        <v>13</v>
      </c>
      <c r="F1378" s="12" t="s">
        <v>4131</v>
      </c>
    </row>
    <row x14ac:dyDescent="0.25" r="1379" customHeight="1" ht="18.75">
      <c r="A1379" s="12" t="s">
        <v>4132</v>
      </c>
      <c r="B1379" s="9">
        <v>45556</v>
      </c>
      <c r="C1379" s="12" t="s">
        <v>101</v>
      </c>
      <c r="D1379" s="12" t="s">
        <v>4133</v>
      </c>
      <c r="E1379" s="12" t="s">
        <v>13</v>
      </c>
      <c r="F1379" s="12" t="s">
        <v>4134</v>
      </c>
    </row>
    <row x14ac:dyDescent="0.25" r="1380" customHeight="1" ht="18.75" hidden="1">
      <c r="A1380" s="12" t="s">
        <v>4135</v>
      </c>
      <c r="B1380" s="9">
        <v>45555</v>
      </c>
      <c r="C1380" s="12" t="s">
        <v>13</v>
      </c>
      <c r="D1380" s="12" t="s">
        <v>4136</v>
      </c>
      <c r="E1380" s="12" t="s">
        <v>2</v>
      </c>
      <c r="F1380" s="12" t="s">
        <v>4137</v>
      </c>
    </row>
    <row x14ac:dyDescent="0.25" r="1381" customHeight="1" ht="18.75" hidden="1">
      <c r="A1381" s="12" t="s">
        <v>4138</v>
      </c>
      <c r="B1381" s="9">
        <v>45554</v>
      </c>
      <c r="C1381" s="12" t="s">
        <v>3</v>
      </c>
      <c r="D1381" s="12" t="s">
        <v>4139</v>
      </c>
      <c r="E1381" s="12" t="s">
        <v>3</v>
      </c>
      <c r="F1381" s="12" t="s">
        <v>4140</v>
      </c>
    </row>
    <row x14ac:dyDescent="0.25" r="1382" customHeight="1" ht="18.75" hidden="1">
      <c r="A1382" s="12" t="s">
        <v>4141</v>
      </c>
      <c r="B1382" s="9">
        <v>45553</v>
      </c>
      <c r="C1382" s="12" t="s">
        <v>2</v>
      </c>
      <c r="D1382" s="12" t="s">
        <v>4142</v>
      </c>
      <c r="E1382" s="12" t="s">
        <v>2</v>
      </c>
      <c r="F1382" s="12" t="s">
        <v>4143</v>
      </c>
    </row>
    <row x14ac:dyDescent="0.25" r="1383" customHeight="1" ht="18.75" hidden="1">
      <c r="A1383" s="12" t="s">
        <v>4144</v>
      </c>
      <c r="B1383" s="9">
        <v>45552</v>
      </c>
      <c r="C1383" s="12" t="s">
        <v>2</v>
      </c>
      <c r="D1383" s="12" t="s">
        <v>4145</v>
      </c>
      <c r="E1383" s="12" t="s">
        <v>2</v>
      </c>
      <c r="F1383" s="12" t="s">
        <v>4146</v>
      </c>
    </row>
    <row x14ac:dyDescent="0.25" r="1384" customHeight="1" ht="18.75" hidden="1">
      <c r="A1384" s="12" t="s">
        <v>4147</v>
      </c>
      <c r="B1384" s="9">
        <v>45552</v>
      </c>
      <c r="C1384" s="12" t="s">
        <v>3</v>
      </c>
      <c r="D1384" s="12" t="s">
        <v>4148</v>
      </c>
      <c r="E1384" s="12" t="s">
        <v>3</v>
      </c>
      <c r="F1384" s="12" t="s">
        <v>4149</v>
      </c>
    </row>
    <row x14ac:dyDescent="0.25" r="1385" customHeight="1" ht="18.75">
      <c r="A1385" s="12" t="s">
        <v>4150</v>
      </c>
      <c r="B1385" s="9">
        <v>45551</v>
      </c>
      <c r="C1385" s="12" t="s">
        <v>13</v>
      </c>
      <c r="D1385" s="12" t="s">
        <v>4151</v>
      </c>
      <c r="E1385" s="12" t="s">
        <v>13</v>
      </c>
      <c r="F1385" s="12" t="s">
        <v>4152</v>
      </c>
    </row>
    <row x14ac:dyDescent="0.25" r="1386" customHeight="1" ht="18.75">
      <c r="A1386" s="12" t="s">
        <v>4153</v>
      </c>
      <c r="B1386" s="9">
        <v>45551</v>
      </c>
      <c r="C1386" s="12" t="s">
        <v>13</v>
      </c>
      <c r="D1386" s="12" t="s">
        <v>4154</v>
      </c>
      <c r="E1386" s="12" t="s">
        <v>13</v>
      </c>
      <c r="F1386" s="12" t="s">
        <v>4155</v>
      </c>
    </row>
    <row x14ac:dyDescent="0.25" r="1387" customHeight="1" ht="18.75" hidden="1">
      <c r="A1387" s="12" t="s">
        <v>4156</v>
      </c>
      <c r="B1387" s="9">
        <v>45551</v>
      </c>
      <c r="C1387" s="12" t="s">
        <v>3</v>
      </c>
      <c r="D1387" s="12" t="s">
        <v>4157</v>
      </c>
      <c r="E1387" s="12" t="s">
        <v>3</v>
      </c>
      <c r="F1387" s="12" t="s">
        <v>4158</v>
      </c>
    </row>
    <row x14ac:dyDescent="0.25" r="1388" customHeight="1" ht="18.75" hidden="1">
      <c r="A1388" s="12" t="s">
        <v>4159</v>
      </c>
      <c r="B1388" s="9">
        <v>45551</v>
      </c>
      <c r="C1388" s="12" t="s">
        <v>2</v>
      </c>
      <c r="D1388" s="12" t="s">
        <v>4160</v>
      </c>
      <c r="E1388" s="12" t="s">
        <v>2</v>
      </c>
      <c r="F1388" s="12" t="s">
        <v>4161</v>
      </c>
    </row>
    <row x14ac:dyDescent="0.25" r="1389" customHeight="1" ht="18.75" hidden="1">
      <c r="A1389" s="12" t="s">
        <v>4162</v>
      </c>
      <c r="B1389" s="9">
        <v>45551</v>
      </c>
      <c r="C1389" s="12" t="s">
        <v>3</v>
      </c>
      <c r="D1389" s="12" t="s">
        <v>4163</v>
      </c>
      <c r="E1389" s="12" t="s">
        <v>3</v>
      </c>
      <c r="F1389" s="12" t="s">
        <v>4164</v>
      </c>
    </row>
    <row x14ac:dyDescent="0.25" r="1390" customHeight="1" ht="18.75">
      <c r="A1390" s="12" t="s">
        <v>4165</v>
      </c>
      <c r="B1390" s="9">
        <v>45551</v>
      </c>
      <c r="C1390" s="12" t="s">
        <v>101</v>
      </c>
      <c r="D1390" s="12" t="s">
        <v>4166</v>
      </c>
      <c r="E1390" s="12" t="s">
        <v>13</v>
      </c>
      <c r="F1390" s="12" t="s">
        <v>4167</v>
      </c>
    </row>
    <row x14ac:dyDescent="0.25" r="1391" customHeight="1" ht="18.75">
      <c r="A1391" s="12" t="s">
        <v>4168</v>
      </c>
      <c r="B1391" s="9">
        <v>45550</v>
      </c>
      <c r="C1391" s="12" t="s">
        <v>13</v>
      </c>
      <c r="D1391" s="12" t="s">
        <v>4169</v>
      </c>
      <c r="E1391" s="12" t="s">
        <v>13</v>
      </c>
      <c r="F1391" s="12" t="s">
        <v>4170</v>
      </c>
    </row>
    <row x14ac:dyDescent="0.25" r="1392" customHeight="1" ht="18.75">
      <c r="A1392" s="12" t="s">
        <v>4171</v>
      </c>
      <c r="B1392" s="9">
        <v>45549</v>
      </c>
      <c r="C1392" s="12" t="s">
        <v>13</v>
      </c>
      <c r="D1392" s="12" t="s">
        <v>4172</v>
      </c>
      <c r="E1392" s="12" t="s">
        <v>13</v>
      </c>
      <c r="F1392" s="12" t="s">
        <v>4173</v>
      </c>
    </row>
    <row x14ac:dyDescent="0.25" r="1393" customHeight="1" ht="18.75" hidden="1">
      <c r="A1393" s="12" t="s">
        <v>4174</v>
      </c>
      <c r="B1393" s="9">
        <v>45548</v>
      </c>
      <c r="C1393" s="12" t="s">
        <v>3</v>
      </c>
      <c r="D1393" s="12" t="s">
        <v>4175</v>
      </c>
      <c r="E1393" s="12" t="s">
        <v>3</v>
      </c>
      <c r="F1393" s="12" t="s">
        <v>4176</v>
      </c>
    </row>
    <row x14ac:dyDescent="0.25" r="1394" customHeight="1" ht="18.75" hidden="1">
      <c r="A1394" s="12" t="s">
        <v>4177</v>
      </c>
      <c r="B1394" s="9">
        <v>45548</v>
      </c>
      <c r="C1394" s="12" t="s">
        <v>3</v>
      </c>
      <c r="D1394" s="12" t="s">
        <v>4178</v>
      </c>
      <c r="E1394" s="12" t="s">
        <v>3</v>
      </c>
      <c r="F1394" s="12" t="s">
        <v>4179</v>
      </c>
    </row>
    <row x14ac:dyDescent="0.25" r="1395" customHeight="1" ht="18.75" hidden="1">
      <c r="A1395" s="12" t="s">
        <v>4180</v>
      </c>
      <c r="B1395" s="9">
        <v>45548</v>
      </c>
      <c r="C1395" s="12" t="s">
        <v>3</v>
      </c>
      <c r="D1395" s="12" t="s">
        <v>4181</v>
      </c>
      <c r="E1395" s="12" t="s">
        <v>3</v>
      </c>
      <c r="F1395" s="12" t="s">
        <v>4182</v>
      </c>
    </row>
    <row x14ac:dyDescent="0.25" r="1396" customHeight="1" ht="18.75" hidden="1">
      <c r="A1396" s="12" t="s">
        <v>4183</v>
      </c>
      <c r="B1396" s="9">
        <v>45548</v>
      </c>
      <c r="C1396" s="12" t="s">
        <v>3</v>
      </c>
      <c r="D1396" s="12" t="s">
        <v>4184</v>
      </c>
      <c r="E1396" s="12" t="s">
        <v>3</v>
      </c>
      <c r="F1396" s="12" t="s">
        <v>4185</v>
      </c>
    </row>
    <row x14ac:dyDescent="0.25" r="1397" customHeight="1" ht="18.75">
      <c r="A1397" s="12" t="s">
        <v>4186</v>
      </c>
      <c r="B1397" s="9">
        <v>45548</v>
      </c>
      <c r="C1397" s="12" t="s">
        <v>101</v>
      </c>
      <c r="D1397" s="12" t="s">
        <v>4187</v>
      </c>
      <c r="E1397" s="12" t="s">
        <v>13</v>
      </c>
      <c r="F1397" s="12" t="s">
        <v>4188</v>
      </c>
    </row>
    <row x14ac:dyDescent="0.25" r="1398" customHeight="1" ht="18.75" hidden="1">
      <c r="A1398" s="12" t="s">
        <v>4189</v>
      </c>
      <c r="B1398" s="9">
        <v>45548</v>
      </c>
      <c r="C1398" s="12" t="s">
        <v>3</v>
      </c>
      <c r="D1398" s="12" t="s">
        <v>4190</v>
      </c>
      <c r="E1398" s="12" t="s">
        <v>3</v>
      </c>
      <c r="F1398" s="12" t="s">
        <v>4191</v>
      </c>
    </row>
    <row x14ac:dyDescent="0.25" r="1399" customHeight="1" ht="18.75" hidden="1">
      <c r="A1399" s="12" t="s">
        <v>4192</v>
      </c>
      <c r="B1399" s="9">
        <v>45548</v>
      </c>
      <c r="C1399" s="12" t="s">
        <v>101</v>
      </c>
      <c r="D1399" s="12" t="s">
        <v>4193</v>
      </c>
      <c r="E1399" s="12" t="s">
        <v>2</v>
      </c>
      <c r="F1399" s="12" t="s">
        <v>4194</v>
      </c>
    </row>
    <row x14ac:dyDescent="0.25" r="1400" customHeight="1" ht="18.75" hidden="1">
      <c r="A1400" s="12" t="s">
        <v>4195</v>
      </c>
      <c r="B1400" s="9">
        <v>45548</v>
      </c>
      <c r="C1400" s="12" t="s">
        <v>3</v>
      </c>
      <c r="D1400" s="12" t="s">
        <v>4196</v>
      </c>
      <c r="E1400" s="12" t="s">
        <v>3</v>
      </c>
      <c r="F1400" s="12" t="s">
        <v>4197</v>
      </c>
    </row>
    <row x14ac:dyDescent="0.25" r="1401" customHeight="1" ht="18.75" hidden="1">
      <c r="A1401" s="12" t="s">
        <v>4198</v>
      </c>
      <c r="B1401" s="9">
        <v>45547</v>
      </c>
      <c r="C1401" s="12" t="s">
        <v>2</v>
      </c>
      <c r="D1401" s="12" t="s">
        <v>4199</v>
      </c>
      <c r="E1401" s="12" t="s">
        <v>2</v>
      </c>
      <c r="F1401" s="12" t="s">
        <v>4200</v>
      </c>
    </row>
    <row x14ac:dyDescent="0.25" r="1402" customHeight="1" ht="18.75">
      <c r="A1402" s="12" t="s">
        <v>4201</v>
      </c>
      <c r="B1402" s="9">
        <v>45547</v>
      </c>
      <c r="C1402" s="12" t="s">
        <v>101</v>
      </c>
      <c r="D1402" s="12" t="s">
        <v>4202</v>
      </c>
      <c r="E1402" s="12" t="s">
        <v>13</v>
      </c>
      <c r="F1402" s="12" t="s">
        <v>4203</v>
      </c>
    </row>
    <row x14ac:dyDescent="0.25" r="1403" customHeight="1" ht="18.75" hidden="1">
      <c r="A1403" s="12" t="s">
        <v>4204</v>
      </c>
      <c r="B1403" s="9">
        <v>45547</v>
      </c>
      <c r="C1403" s="12" t="s">
        <v>3</v>
      </c>
      <c r="D1403" s="12" t="s">
        <v>4205</v>
      </c>
      <c r="E1403" s="12" t="s">
        <v>3</v>
      </c>
      <c r="F1403" s="12" t="s">
        <v>4206</v>
      </c>
    </row>
    <row x14ac:dyDescent="0.25" r="1404" customHeight="1" ht="18.75" hidden="1">
      <c r="A1404" s="12" t="s">
        <v>4207</v>
      </c>
      <c r="B1404" s="9">
        <v>45547</v>
      </c>
      <c r="C1404" s="12" t="s">
        <v>3</v>
      </c>
      <c r="D1404" s="12" t="s">
        <v>4208</v>
      </c>
      <c r="E1404" s="12" t="s">
        <v>3</v>
      </c>
      <c r="F1404" s="12" t="s">
        <v>4209</v>
      </c>
    </row>
    <row x14ac:dyDescent="0.25" r="1405" customHeight="1" ht="18.75" hidden="1">
      <c r="A1405" s="12" t="s">
        <v>4210</v>
      </c>
      <c r="B1405" s="9">
        <v>45547</v>
      </c>
      <c r="C1405" s="12" t="s">
        <v>2</v>
      </c>
      <c r="D1405" s="12" t="s">
        <v>4211</v>
      </c>
      <c r="E1405" s="12" t="s">
        <v>2</v>
      </c>
      <c r="F1405" s="12" t="s">
        <v>4212</v>
      </c>
    </row>
    <row x14ac:dyDescent="0.25" r="1406" customHeight="1" ht="18.75" hidden="1">
      <c r="A1406" s="12" t="s">
        <v>4213</v>
      </c>
      <c r="B1406" s="9">
        <v>45547</v>
      </c>
      <c r="C1406" s="12" t="s">
        <v>3</v>
      </c>
      <c r="D1406" s="12" t="s">
        <v>4214</v>
      </c>
      <c r="E1406" s="12" t="s">
        <v>3</v>
      </c>
      <c r="F1406" s="12" t="s">
        <v>4215</v>
      </c>
    </row>
    <row x14ac:dyDescent="0.25" r="1407" customHeight="1" ht="18.75" hidden="1">
      <c r="A1407" s="12" t="s">
        <v>4216</v>
      </c>
      <c r="B1407" s="9">
        <v>45547</v>
      </c>
      <c r="C1407" s="12" t="s">
        <v>3</v>
      </c>
      <c r="D1407" s="12" t="s">
        <v>4217</v>
      </c>
      <c r="E1407" s="12" t="s">
        <v>3</v>
      </c>
      <c r="F1407" s="12" t="s">
        <v>4218</v>
      </c>
    </row>
    <row x14ac:dyDescent="0.25" r="1408" customHeight="1" ht="18.75" hidden="1">
      <c r="A1408" s="12" t="s">
        <v>4219</v>
      </c>
      <c r="B1408" s="9">
        <v>45546</v>
      </c>
      <c r="C1408" s="12" t="s">
        <v>101</v>
      </c>
      <c r="D1408" s="12" t="s">
        <v>4220</v>
      </c>
      <c r="E1408" s="12" t="s">
        <v>3</v>
      </c>
      <c r="F1408" s="12" t="s">
        <v>4221</v>
      </c>
    </row>
    <row x14ac:dyDescent="0.25" r="1409" customHeight="1" ht="18.75" hidden="1">
      <c r="A1409" s="12" t="s">
        <v>4222</v>
      </c>
      <c r="B1409" s="9">
        <v>45546</v>
      </c>
      <c r="C1409" s="12" t="s">
        <v>2</v>
      </c>
      <c r="D1409" s="12" t="s">
        <v>4223</v>
      </c>
      <c r="E1409" s="12" t="s">
        <v>2</v>
      </c>
      <c r="F1409" s="12" t="s">
        <v>4224</v>
      </c>
    </row>
    <row x14ac:dyDescent="0.25" r="1410" customHeight="1" ht="18.75" hidden="1">
      <c r="A1410" s="12" t="s">
        <v>4225</v>
      </c>
      <c r="B1410" s="9">
        <v>45546</v>
      </c>
      <c r="C1410" s="12" t="s">
        <v>3</v>
      </c>
      <c r="D1410" s="12" t="s">
        <v>4226</v>
      </c>
      <c r="E1410" s="12" t="s">
        <v>3</v>
      </c>
      <c r="F1410" s="12" t="s">
        <v>4227</v>
      </c>
    </row>
    <row x14ac:dyDescent="0.25" r="1411" customHeight="1" ht="18.75" hidden="1">
      <c r="A1411" s="12" t="s">
        <v>4228</v>
      </c>
      <c r="B1411" s="9">
        <v>45545</v>
      </c>
      <c r="C1411" s="12" t="s">
        <v>3</v>
      </c>
      <c r="D1411" s="12" t="s">
        <v>4229</v>
      </c>
      <c r="E1411" s="12" t="s">
        <v>3</v>
      </c>
      <c r="F1411" s="12" t="s">
        <v>4230</v>
      </c>
    </row>
    <row x14ac:dyDescent="0.25" r="1412" customHeight="1" ht="18.75" hidden="1">
      <c r="A1412" s="12" t="s">
        <v>4231</v>
      </c>
      <c r="B1412" s="9">
        <v>45545</v>
      </c>
      <c r="C1412" s="12" t="s">
        <v>3</v>
      </c>
      <c r="D1412" s="12" t="s">
        <v>4232</v>
      </c>
      <c r="E1412" s="12" t="s">
        <v>3</v>
      </c>
      <c r="F1412" s="12" t="s">
        <v>4233</v>
      </c>
    </row>
    <row x14ac:dyDescent="0.25" r="1413" customHeight="1" ht="18.75" hidden="1">
      <c r="A1413" s="12" t="s">
        <v>4234</v>
      </c>
      <c r="B1413" s="9">
        <v>45545</v>
      </c>
      <c r="C1413" s="12" t="s">
        <v>3</v>
      </c>
      <c r="D1413" s="12" t="s">
        <v>4235</v>
      </c>
      <c r="E1413" s="12" t="s">
        <v>3</v>
      </c>
      <c r="F1413" s="12" t="s">
        <v>4236</v>
      </c>
    </row>
    <row x14ac:dyDescent="0.25" r="1414" customHeight="1" ht="18.75" hidden="1">
      <c r="A1414" s="12" t="s">
        <v>4237</v>
      </c>
      <c r="B1414" s="9">
        <v>45545</v>
      </c>
      <c r="C1414" s="12" t="s">
        <v>3</v>
      </c>
      <c r="D1414" s="12" t="s">
        <v>4238</v>
      </c>
      <c r="E1414" s="12" t="s">
        <v>3</v>
      </c>
      <c r="F1414" s="12" t="s">
        <v>4239</v>
      </c>
    </row>
    <row x14ac:dyDescent="0.25" r="1415" customHeight="1" ht="18.75" hidden="1">
      <c r="A1415" s="12" t="s">
        <v>4240</v>
      </c>
      <c r="B1415" s="9">
        <v>45545</v>
      </c>
      <c r="C1415" s="12" t="s">
        <v>3</v>
      </c>
      <c r="D1415" s="12" t="s">
        <v>4241</v>
      </c>
      <c r="E1415" s="12" t="s">
        <v>3</v>
      </c>
      <c r="F1415" s="12" t="s">
        <v>4242</v>
      </c>
    </row>
    <row x14ac:dyDescent="0.25" r="1416" customHeight="1" ht="18.75" hidden="1">
      <c r="A1416" s="12" t="s">
        <v>4243</v>
      </c>
      <c r="B1416" s="9">
        <v>45545</v>
      </c>
      <c r="C1416" s="12" t="s">
        <v>3</v>
      </c>
      <c r="D1416" s="12" t="s">
        <v>4244</v>
      </c>
      <c r="E1416" s="12" t="s">
        <v>3</v>
      </c>
      <c r="F1416" s="12" t="s">
        <v>4245</v>
      </c>
    </row>
    <row x14ac:dyDescent="0.25" r="1417" customHeight="1" ht="18.75" hidden="1">
      <c r="A1417" s="12" t="s">
        <v>4246</v>
      </c>
      <c r="B1417" s="9">
        <v>45545</v>
      </c>
      <c r="C1417" s="12" t="s">
        <v>3</v>
      </c>
      <c r="D1417" s="12" t="s">
        <v>4247</v>
      </c>
      <c r="E1417" s="12" t="s">
        <v>3</v>
      </c>
      <c r="F1417" s="12" t="s">
        <v>4248</v>
      </c>
    </row>
    <row x14ac:dyDescent="0.25" r="1418" customHeight="1" ht="18.75" hidden="1">
      <c r="A1418" s="12" t="s">
        <v>4249</v>
      </c>
      <c r="B1418" s="9">
        <v>45545</v>
      </c>
      <c r="C1418" s="12" t="s">
        <v>3</v>
      </c>
      <c r="D1418" s="12" t="s">
        <v>4250</v>
      </c>
      <c r="E1418" s="12" t="s">
        <v>3</v>
      </c>
      <c r="F1418" s="12" t="s">
        <v>4251</v>
      </c>
    </row>
    <row x14ac:dyDescent="0.25" r="1419" customHeight="1" ht="18.75" hidden="1">
      <c r="A1419" s="12" t="s">
        <v>4252</v>
      </c>
      <c r="B1419" s="9">
        <v>45544</v>
      </c>
      <c r="C1419" s="12" t="s">
        <v>3</v>
      </c>
      <c r="D1419" s="12" t="s">
        <v>4253</v>
      </c>
      <c r="E1419" s="12" t="s">
        <v>3</v>
      </c>
      <c r="F1419" s="12" t="s">
        <v>4254</v>
      </c>
    </row>
    <row x14ac:dyDescent="0.25" r="1420" customHeight="1" ht="18.75">
      <c r="A1420" s="12" t="s">
        <v>4255</v>
      </c>
      <c r="B1420" s="9">
        <v>45544</v>
      </c>
      <c r="C1420" s="12" t="s">
        <v>13</v>
      </c>
      <c r="D1420" s="12" t="s">
        <v>4256</v>
      </c>
      <c r="E1420" s="12" t="s">
        <v>13</v>
      </c>
      <c r="F1420" s="12" t="s">
        <v>4257</v>
      </c>
    </row>
    <row x14ac:dyDescent="0.25" r="1421" customHeight="1" ht="18.75">
      <c r="A1421" s="12" t="s">
        <v>4258</v>
      </c>
      <c r="B1421" s="9">
        <v>45544</v>
      </c>
      <c r="C1421" s="12" t="s">
        <v>101</v>
      </c>
      <c r="D1421" s="12" t="s">
        <v>4259</v>
      </c>
      <c r="E1421" s="12" t="s">
        <v>4</v>
      </c>
      <c r="F1421" s="12" t="s">
        <v>4260</v>
      </c>
    </row>
    <row x14ac:dyDescent="0.25" r="1422" customHeight="1" ht="18.75">
      <c r="A1422" s="12" t="s">
        <v>4261</v>
      </c>
      <c r="B1422" s="9">
        <v>45544</v>
      </c>
      <c r="C1422" s="12" t="s">
        <v>101</v>
      </c>
      <c r="D1422" s="12" t="s">
        <v>4262</v>
      </c>
      <c r="E1422" s="12" t="s">
        <v>4</v>
      </c>
      <c r="F1422" s="12" t="s">
        <v>4263</v>
      </c>
    </row>
    <row x14ac:dyDescent="0.25" r="1423" customHeight="1" ht="18.75" hidden="1">
      <c r="A1423" s="12" t="s">
        <v>4264</v>
      </c>
      <c r="B1423" s="9">
        <v>45544</v>
      </c>
      <c r="C1423" s="12" t="s">
        <v>3</v>
      </c>
      <c r="D1423" s="12" t="s">
        <v>4265</v>
      </c>
      <c r="E1423" s="12" t="s">
        <v>3</v>
      </c>
      <c r="F1423" s="12" t="s">
        <v>4266</v>
      </c>
    </row>
    <row x14ac:dyDescent="0.25" r="1424" customHeight="1" ht="18.75" hidden="1">
      <c r="A1424" s="12" t="s">
        <v>4267</v>
      </c>
      <c r="B1424" s="9">
        <v>45544</v>
      </c>
      <c r="C1424" s="12" t="s">
        <v>3</v>
      </c>
      <c r="D1424" s="12" t="s">
        <v>4268</v>
      </c>
      <c r="E1424" s="12" t="s">
        <v>3</v>
      </c>
      <c r="F1424" s="12" t="s">
        <v>4269</v>
      </c>
    </row>
    <row x14ac:dyDescent="0.25" r="1425" customHeight="1" ht="18.75" hidden="1">
      <c r="A1425" s="12" t="s">
        <v>4270</v>
      </c>
      <c r="B1425" s="9">
        <v>45543</v>
      </c>
      <c r="C1425" s="12" t="s">
        <v>2</v>
      </c>
      <c r="D1425" s="12" t="s">
        <v>4271</v>
      </c>
      <c r="E1425" s="12" t="s">
        <v>2</v>
      </c>
      <c r="F1425" s="12" t="s">
        <v>4272</v>
      </c>
    </row>
    <row x14ac:dyDescent="0.25" r="1426" customHeight="1" ht="18.75" hidden="1">
      <c r="A1426" s="12" t="s">
        <v>4273</v>
      </c>
      <c r="B1426" s="9">
        <v>45543</v>
      </c>
      <c r="C1426" s="12" t="s">
        <v>2</v>
      </c>
      <c r="D1426" s="12" t="s">
        <v>4274</v>
      </c>
      <c r="E1426" s="12" t="s">
        <v>2</v>
      </c>
      <c r="F1426" s="12" t="s">
        <v>4275</v>
      </c>
    </row>
    <row x14ac:dyDescent="0.25" r="1427" customHeight="1" ht="18.75" hidden="1">
      <c r="A1427" s="12" t="s">
        <v>4276</v>
      </c>
      <c r="B1427" s="9">
        <v>45541</v>
      </c>
      <c r="C1427" s="12" t="s">
        <v>3</v>
      </c>
      <c r="D1427" s="12" t="s">
        <v>4277</v>
      </c>
      <c r="E1427" s="12" t="s">
        <v>3</v>
      </c>
      <c r="F1427" s="12" t="s">
        <v>4278</v>
      </c>
    </row>
    <row x14ac:dyDescent="0.25" r="1428" customHeight="1" ht="18.75" hidden="1">
      <c r="A1428" s="12" t="s">
        <v>4279</v>
      </c>
      <c r="B1428" s="9">
        <v>45541</v>
      </c>
      <c r="C1428" s="12" t="s">
        <v>3</v>
      </c>
      <c r="D1428" s="12" t="s">
        <v>4280</v>
      </c>
      <c r="E1428" s="12" t="s">
        <v>3</v>
      </c>
      <c r="F1428" s="12" t="s">
        <v>4281</v>
      </c>
    </row>
    <row x14ac:dyDescent="0.25" r="1429" customHeight="1" ht="18.75" hidden="1">
      <c r="A1429" s="12" t="s">
        <v>4282</v>
      </c>
      <c r="B1429" s="9">
        <v>45541</v>
      </c>
      <c r="C1429" s="12" t="s">
        <v>3</v>
      </c>
      <c r="D1429" s="12" t="s">
        <v>4283</v>
      </c>
      <c r="E1429" s="12" t="s">
        <v>3</v>
      </c>
      <c r="F1429" s="12" t="s">
        <v>4284</v>
      </c>
    </row>
    <row x14ac:dyDescent="0.25" r="1430" customHeight="1" ht="18.75" hidden="1">
      <c r="A1430" s="12" t="s">
        <v>4285</v>
      </c>
      <c r="B1430" s="9">
        <v>45541</v>
      </c>
      <c r="C1430" s="12" t="s">
        <v>3</v>
      </c>
      <c r="D1430" s="12" t="s">
        <v>4286</v>
      </c>
      <c r="E1430" s="12" t="s">
        <v>3</v>
      </c>
      <c r="F1430" s="12" t="s">
        <v>4287</v>
      </c>
    </row>
    <row x14ac:dyDescent="0.25" r="1431" customHeight="1" ht="18.75" hidden="1">
      <c r="A1431" s="12" t="s">
        <v>4288</v>
      </c>
      <c r="B1431" s="9">
        <v>45540</v>
      </c>
      <c r="C1431" s="12" t="s">
        <v>3</v>
      </c>
      <c r="D1431" s="12" t="s">
        <v>4289</v>
      </c>
      <c r="E1431" s="12" t="s">
        <v>3</v>
      </c>
      <c r="F1431" s="12" t="s">
        <v>4290</v>
      </c>
    </row>
    <row x14ac:dyDescent="0.25" r="1432" customHeight="1" ht="18.75" hidden="1">
      <c r="A1432" s="12" t="s">
        <v>4291</v>
      </c>
      <c r="B1432" s="9">
        <v>45540</v>
      </c>
      <c r="C1432" s="12" t="s">
        <v>3</v>
      </c>
      <c r="D1432" s="12" t="s">
        <v>4292</v>
      </c>
      <c r="E1432" s="12" t="s">
        <v>3</v>
      </c>
      <c r="F1432" s="12" t="s">
        <v>4293</v>
      </c>
    </row>
    <row x14ac:dyDescent="0.25" r="1433" customHeight="1" ht="18.75" hidden="1">
      <c r="A1433" s="12" t="s">
        <v>4294</v>
      </c>
      <c r="B1433" s="9">
        <v>45540</v>
      </c>
      <c r="C1433" s="12" t="s">
        <v>2</v>
      </c>
      <c r="D1433" s="12" t="s">
        <v>4295</v>
      </c>
      <c r="E1433" s="12" t="s">
        <v>2</v>
      </c>
      <c r="F1433" s="12" t="s">
        <v>4296</v>
      </c>
    </row>
    <row x14ac:dyDescent="0.25" r="1434" customHeight="1" ht="18.75" hidden="1">
      <c r="A1434" s="12" t="s">
        <v>4297</v>
      </c>
      <c r="B1434" s="9">
        <v>45540</v>
      </c>
      <c r="C1434" s="12" t="s">
        <v>2</v>
      </c>
      <c r="D1434" s="12" t="s">
        <v>4298</v>
      </c>
      <c r="E1434" s="12" t="s">
        <v>2</v>
      </c>
      <c r="F1434" s="12" t="s">
        <v>4299</v>
      </c>
    </row>
    <row x14ac:dyDescent="0.25" r="1435" customHeight="1" ht="18.75" hidden="1">
      <c r="A1435" s="12" t="s">
        <v>4300</v>
      </c>
      <c r="B1435" s="9">
        <v>45540</v>
      </c>
      <c r="C1435" s="12" t="s">
        <v>2</v>
      </c>
      <c r="D1435" s="12" t="s">
        <v>4301</v>
      </c>
      <c r="E1435" s="12" t="s">
        <v>2</v>
      </c>
      <c r="F1435" s="12" t="s">
        <v>4302</v>
      </c>
    </row>
    <row x14ac:dyDescent="0.25" r="1436" customHeight="1" ht="18.75" hidden="1">
      <c r="A1436" s="12" t="s">
        <v>4303</v>
      </c>
      <c r="B1436" s="9">
        <v>45540</v>
      </c>
      <c r="C1436" s="12" t="s">
        <v>101</v>
      </c>
      <c r="D1436" s="12" t="s">
        <v>4304</v>
      </c>
      <c r="E1436" s="12" t="s">
        <v>2</v>
      </c>
      <c r="F1436" s="12" t="s">
        <v>4305</v>
      </c>
    </row>
    <row x14ac:dyDescent="0.25" r="1437" customHeight="1" ht="18.75" hidden="1">
      <c r="A1437" s="12" t="s">
        <v>4306</v>
      </c>
      <c r="B1437" s="9">
        <v>45540</v>
      </c>
      <c r="C1437" s="12" t="s">
        <v>2</v>
      </c>
      <c r="D1437" s="12" t="s">
        <v>4307</v>
      </c>
      <c r="E1437" s="12" t="s">
        <v>2</v>
      </c>
      <c r="F1437" s="12" t="s">
        <v>4308</v>
      </c>
    </row>
    <row x14ac:dyDescent="0.25" r="1438" customHeight="1" ht="18.75" hidden="1">
      <c r="A1438" s="12" t="s">
        <v>4309</v>
      </c>
      <c r="B1438" s="9">
        <v>45540</v>
      </c>
      <c r="C1438" s="12" t="s">
        <v>2</v>
      </c>
      <c r="D1438" s="12" t="s">
        <v>4310</v>
      </c>
      <c r="E1438" s="12" t="s">
        <v>2</v>
      </c>
      <c r="F1438" s="12" t="s">
        <v>4311</v>
      </c>
    </row>
    <row x14ac:dyDescent="0.25" r="1439" customHeight="1" ht="18.75">
      <c r="A1439" s="12" t="s">
        <v>4312</v>
      </c>
      <c r="B1439" s="9">
        <v>45539</v>
      </c>
      <c r="C1439" s="12" t="s">
        <v>13</v>
      </c>
      <c r="D1439" s="12" t="s">
        <v>4313</v>
      </c>
      <c r="E1439" s="12" t="s">
        <v>13</v>
      </c>
      <c r="F1439" s="12" t="s">
        <v>4314</v>
      </c>
    </row>
    <row x14ac:dyDescent="0.25" r="1440" customHeight="1" ht="18.75">
      <c r="A1440" s="12" t="s">
        <v>4315</v>
      </c>
      <c r="B1440" s="9">
        <v>45539</v>
      </c>
      <c r="C1440" s="12" t="s">
        <v>13</v>
      </c>
      <c r="D1440" s="12" t="s">
        <v>4316</v>
      </c>
      <c r="E1440" s="12" t="s">
        <v>13</v>
      </c>
      <c r="F1440" s="12" t="s">
        <v>4317</v>
      </c>
    </row>
    <row x14ac:dyDescent="0.25" r="1441" customHeight="1" ht="18.75" hidden="1">
      <c r="A1441" s="12" t="s">
        <v>4318</v>
      </c>
      <c r="B1441" s="9">
        <v>45539</v>
      </c>
      <c r="C1441" s="12" t="s">
        <v>3</v>
      </c>
      <c r="D1441" s="12" t="s">
        <v>4319</v>
      </c>
      <c r="E1441" s="12" t="s">
        <v>3</v>
      </c>
      <c r="F1441" s="12" t="s">
        <v>4320</v>
      </c>
    </row>
    <row x14ac:dyDescent="0.25" r="1442" customHeight="1" ht="18.75" hidden="1">
      <c r="A1442" s="12" t="s">
        <v>4321</v>
      </c>
      <c r="B1442" s="9">
        <v>45539</v>
      </c>
      <c r="C1442" s="12" t="s">
        <v>3</v>
      </c>
      <c r="D1442" s="12" t="s">
        <v>4322</v>
      </c>
      <c r="E1442" s="12" t="s">
        <v>3</v>
      </c>
      <c r="F1442" s="12" t="s">
        <v>4323</v>
      </c>
    </row>
    <row x14ac:dyDescent="0.25" r="1443" customHeight="1" ht="18.75" hidden="1">
      <c r="A1443" s="12" t="s">
        <v>4324</v>
      </c>
      <c r="B1443" s="9">
        <v>45539</v>
      </c>
      <c r="C1443" s="12" t="s">
        <v>3</v>
      </c>
      <c r="D1443" s="12" t="s">
        <v>4325</v>
      </c>
      <c r="E1443" s="12" t="s">
        <v>3</v>
      </c>
      <c r="F1443" s="12" t="s">
        <v>4326</v>
      </c>
    </row>
    <row x14ac:dyDescent="0.25" r="1444" customHeight="1" ht="18.75" hidden="1">
      <c r="A1444" s="12" t="s">
        <v>4327</v>
      </c>
      <c r="B1444" s="9">
        <v>45539</v>
      </c>
      <c r="C1444" s="12" t="s">
        <v>3</v>
      </c>
      <c r="D1444" s="12" t="s">
        <v>4328</v>
      </c>
      <c r="E1444" s="12" t="s">
        <v>3</v>
      </c>
      <c r="F1444" s="12" t="s">
        <v>4329</v>
      </c>
    </row>
    <row x14ac:dyDescent="0.25" r="1445" customHeight="1" ht="18.75" hidden="1">
      <c r="A1445" s="12" t="s">
        <v>4330</v>
      </c>
      <c r="B1445" s="9">
        <v>45539</v>
      </c>
      <c r="C1445" s="12" t="s">
        <v>2</v>
      </c>
      <c r="D1445" s="12" t="s">
        <v>4331</v>
      </c>
      <c r="E1445" s="12" t="s">
        <v>2</v>
      </c>
      <c r="F1445" s="12" t="s">
        <v>4332</v>
      </c>
    </row>
    <row x14ac:dyDescent="0.25" r="1446" customHeight="1" ht="18.75">
      <c r="A1446" s="12" t="s">
        <v>4333</v>
      </c>
      <c r="B1446" s="9">
        <v>45539</v>
      </c>
      <c r="C1446" s="12" t="s">
        <v>13</v>
      </c>
      <c r="D1446" s="12" t="s">
        <v>4334</v>
      </c>
      <c r="E1446" s="12" t="s">
        <v>13</v>
      </c>
      <c r="F1446" s="12" t="s">
        <v>4335</v>
      </c>
    </row>
    <row x14ac:dyDescent="0.25" r="1447" customHeight="1" ht="18.75" hidden="1">
      <c r="A1447" s="12" t="s">
        <v>4336</v>
      </c>
      <c r="B1447" s="9">
        <v>45539</v>
      </c>
      <c r="C1447" s="12" t="s">
        <v>3</v>
      </c>
      <c r="D1447" s="12" t="s">
        <v>4337</v>
      </c>
      <c r="E1447" s="12" t="s">
        <v>3</v>
      </c>
      <c r="F1447" s="12" t="s">
        <v>4338</v>
      </c>
    </row>
    <row x14ac:dyDescent="0.25" r="1448" customHeight="1" ht="18.75">
      <c r="A1448" s="12" t="s">
        <v>4339</v>
      </c>
      <c r="B1448" s="9">
        <v>45538</v>
      </c>
      <c r="C1448" s="12" t="s">
        <v>101</v>
      </c>
      <c r="D1448" s="12" t="s">
        <v>4340</v>
      </c>
      <c r="E1448" s="12" t="s">
        <v>13</v>
      </c>
      <c r="F1448" s="12" t="s">
        <v>4341</v>
      </c>
    </row>
    <row x14ac:dyDescent="0.25" r="1449" customHeight="1" ht="18.75" hidden="1">
      <c r="A1449" s="12" t="s">
        <v>4342</v>
      </c>
      <c r="B1449" s="9">
        <v>45538</v>
      </c>
      <c r="C1449" s="12" t="s">
        <v>3</v>
      </c>
      <c r="D1449" s="12" t="s">
        <v>4343</v>
      </c>
      <c r="E1449" s="12" t="s">
        <v>3</v>
      </c>
      <c r="F1449" s="12" t="s">
        <v>4344</v>
      </c>
    </row>
    <row x14ac:dyDescent="0.25" r="1450" customHeight="1" ht="18.75" hidden="1">
      <c r="A1450" s="12" t="s">
        <v>4345</v>
      </c>
      <c r="B1450" s="9">
        <v>45538</v>
      </c>
      <c r="C1450" s="12" t="s">
        <v>3</v>
      </c>
      <c r="D1450" s="12" t="s">
        <v>4346</v>
      </c>
      <c r="E1450" s="12" t="s">
        <v>3</v>
      </c>
      <c r="F1450" s="12" t="s">
        <v>4347</v>
      </c>
    </row>
    <row x14ac:dyDescent="0.25" r="1451" customHeight="1" ht="18.75" hidden="1">
      <c r="A1451" s="12" t="s">
        <v>4348</v>
      </c>
      <c r="B1451" s="9">
        <v>45538</v>
      </c>
      <c r="C1451" s="12" t="s">
        <v>3</v>
      </c>
      <c r="D1451" s="12" t="s">
        <v>4349</v>
      </c>
      <c r="E1451" s="12" t="s">
        <v>3</v>
      </c>
      <c r="F1451" s="12" t="s">
        <v>4350</v>
      </c>
    </row>
    <row x14ac:dyDescent="0.25" r="1452" customHeight="1" ht="18.75" hidden="1">
      <c r="A1452" s="12" t="s">
        <v>4351</v>
      </c>
      <c r="B1452" s="9">
        <v>45538</v>
      </c>
      <c r="C1452" s="12" t="s">
        <v>2</v>
      </c>
      <c r="D1452" s="12" t="s">
        <v>4352</v>
      </c>
      <c r="E1452" s="12" t="s">
        <v>2</v>
      </c>
      <c r="F1452" s="12" t="s">
        <v>4353</v>
      </c>
    </row>
    <row x14ac:dyDescent="0.25" r="1453" customHeight="1" ht="18.75" hidden="1">
      <c r="A1453" s="12" t="s">
        <v>4354</v>
      </c>
      <c r="B1453" s="9">
        <v>45538</v>
      </c>
      <c r="C1453" s="12" t="s">
        <v>3</v>
      </c>
      <c r="D1453" s="12" t="s">
        <v>4355</v>
      </c>
      <c r="E1453" s="12" t="s">
        <v>3</v>
      </c>
      <c r="F1453" s="12" t="s">
        <v>4356</v>
      </c>
    </row>
    <row x14ac:dyDescent="0.25" r="1454" customHeight="1" ht="18.75" hidden="1">
      <c r="A1454" s="12" t="s">
        <v>4357</v>
      </c>
      <c r="B1454" s="9">
        <v>45538</v>
      </c>
      <c r="C1454" s="12" t="s">
        <v>3</v>
      </c>
      <c r="D1454" s="12" t="s">
        <v>4358</v>
      </c>
      <c r="E1454" s="12" t="s">
        <v>3</v>
      </c>
      <c r="F1454" s="12" t="s">
        <v>4359</v>
      </c>
    </row>
    <row x14ac:dyDescent="0.25" r="1455" customHeight="1" ht="18.75" hidden="1">
      <c r="A1455" s="12" t="s">
        <v>4360</v>
      </c>
      <c r="B1455" s="9">
        <v>45538</v>
      </c>
      <c r="C1455" s="12" t="s">
        <v>3</v>
      </c>
      <c r="D1455" s="12" t="s">
        <v>4361</v>
      </c>
      <c r="E1455" s="12" t="s">
        <v>3</v>
      </c>
      <c r="F1455" s="12" t="s">
        <v>4362</v>
      </c>
    </row>
    <row x14ac:dyDescent="0.25" r="1456" customHeight="1" ht="18.75" hidden="1">
      <c r="A1456" s="12" t="s">
        <v>4363</v>
      </c>
      <c r="B1456" s="9">
        <v>45537</v>
      </c>
      <c r="C1456" s="12" t="s">
        <v>3</v>
      </c>
      <c r="D1456" s="12" t="s">
        <v>4364</v>
      </c>
      <c r="E1456" s="12" t="s">
        <v>3</v>
      </c>
      <c r="F1456" s="12" t="s">
        <v>4365</v>
      </c>
    </row>
    <row x14ac:dyDescent="0.25" r="1457" customHeight="1" ht="18.75" hidden="1">
      <c r="A1457" s="12" t="s">
        <v>4366</v>
      </c>
      <c r="B1457" s="9">
        <v>45536</v>
      </c>
      <c r="C1457" s="12" t="s">
        <v>3</v>
      </c>
      <c r="D1457" s="12" t="s">
        <v>4367</v>
      </c>
      <c r="E1457" s="12" t="s">
        <v>3</v>
      </c>
      <c r="F1457" s="12" t="s">
        <v>4368</v>
      </c>
    </row>
    <row x14ac:dyDescent="0.25" r="1458" customHeight="1" ht="18.75">
      <c r="A1458" s="12" t="s">
        <v>4369</v>
      </c>
      <c r="B1458" s="9">
        <v>45536</v>
      </c>
      <c r="C1458" s="12" t="s">
        <v>13</v>
      </c>
      <c r="D1458" s="12" t="s">
        <v>4370</v>
      </c>
      <c r="E1458" s="12" t="s">
        <v>13</v>
      </c>
      <c r="F1458" s="12" t="s">
        <v>4371</v>
      </c>
    </row>
    <row x14ac:dyDescent="0.25" r="1459" customHeight="1" ht="18.75" hidden="1">
      <c r="A1459" s="12" t="s">
        <v>4372</v>
      </c>
      <c r="B1459" s="9">
        <v>45533</v>
      </c>
      <c r="C1459" s="12" t="s">
        <v>3</v>
      </c>
      <c r="D1459" s="12" t="s">
        <v>4373</v>
      </c>
      <c r="E1459" s="12" t="s">
        <v>3</v>
      </c>
      <c r="F1459" s="12" t="s">
        <v>4374</v>
      </c>
    </row>
    <row x14ac:dyDescent="0.25" r="1460" customHeight="1" ht="18.75" hidden="1">
      <c r="A1460" s="12" t="s">
        <v>4375</v>
      </c>
      <c r="B1460" s="9">
        <v>45533</v>
      </c>
      <c r="C1460" s="12" t="s">
        <v>2</v>
      </c>
      <c r="D1460" s="12" t="s">
        <v>4376</v>
      </c>
      <c r="E1460" s="12" t="s">
        <v>2</v>
      </c>
      <c r="F1460" s="12" t="s">
        <v>4377</v>
      </c>
    </row>
    <row x14ac:dyDescent="0.25" r="1461" customHeight="1" ht="18.75" hidden="1">
      <c r="A1461" s="12" t="s">
        <v>4378</v>
      </c>
      <c r="B1461" s="9">
        <v>45531</v>
      </c>
      <c r="C1461" s="12" t="s">
        <v>2</v>
      </c>
      <c r="D1461" s="12" t="s">
        <v>4379</v>
      </c>
      <c r="E1461" s="12" t="s">
        <v>2</v>
      </c>
      <c r="F1461" s="12" t="s">
        <v>4380</v>
      </c>
    </row>
    <row x14ac:dyDescent="0.25" r="1462" customHeight="1" ht="18.75" hidden="1">
      <c r="A1462" s="12" t="s">
        <v>4381</v>
      </c>
      <c r="B1462" s="9">
        <v>45531</v>
      </c>
      <c r="C1462" s="12" t="s">
        <v>3</v>
      </c>
      <c r="D1462" s="12" t="s">
        <v>4382</v>
      </c>
      <c r="E1462" s="12" t="s">
        <v>3</v>
      </c>
      <c r="F1462" s="12" t="s">
        <v>4383</v>
      </c>
    </row>
    <row x14ac:dyDescent="0.25" r="1463" customHeight="1" ht="18.75" hidden="1">
      <c r="A1463" s="12" t="s">
        <v>4384</v>
      </c>
      <c r="B1463" s="9">
        <v>45530</v>
      </c>
      <c r="C1463" s="12" t="s">
        <v>2</v>
      </c>
      <c r="D1463" s="12" t="s">
        <v>4385</v>
      </c>
      <c r="E1463" s="12" t="s">
        <v>2</v>
      </c>
      <c r="F1463" s="12" t="s">
        <v>4386</v>
      </c>
    </row>
    <row x14ac:dyDescent="0.25" r="1464" customHeight="1" ht="18.75" hidden="1">
      <c r="A1464" s="12" t="s">
        <v>4387</v>
      </c>
      <c r="B1464" s="9">
        <v>45530</v>
      </c>
      <c r="C1464" s="12" t="s">
        <v>2</v>
      </c>
      <c r="D1464" s="12" t="s">
        <v>4388</v>
      </c>
      <c r="E1464" s="12" t="s">
        <v>3</v>
      </c>
      <c r="F1464" s="12" t="s">
        <v>4389</v>
      </c>
    </row>
    <row x14ac:dyDescent="0.25" r="1465" customHeight="1" ht="18.75" hidden="1">
      <c r="A1465" s="12" t="s">
        <v>4390</v>
      </c>
      <c r="B1465" s="9">
        <v>45526</v>
      </c>
      <c r="C1465" s="12" t="s">
        <v>3</v>
      </c>
      <c r="D1465" s="12" t="s">
        <v>4391</v>
      </c>
      <c r="E1465" s="12" t="s">
        <v>3</v>
      </c>
      <c r="F1465" s="12" t="s">
        <v>4392</v>
      </c>
    </row>
    <row x14ac:dyDescent="0.25" r="1466" customHeight="1" ht="18.75" hidden="1">
      <c r="A1466" s="12" t="s">
        <v>4393</v>
      </c>
      <c r="B1466" s="9">
        <v>45526</v>
      </c>
      <c r="C1466" s="12" t="s">
        <v>2</v>
      </c>
      <c r="D1466" s="12" t="s">
        <v>4394</v>
      </c>
      <c r="E1466" s="12" t="s">
        <v>2</v>
      </c>
      <c r="F1466" s="12" t="s">
        <v>4395</v>
      </c>
    </row>
    <row x14ac:dyDescent="0.25" r="1467" customHeight="1" ht="18.75" hidden="1">
      <c r="A1467" s="12" t="s">
        <v>4396</v>
      </c>
      <c r="B1467" s="9">
        <v>45525</v>
      </c>
      <c r="C1467" s="12" t="s">
        <v>3</v>
      </c>
      <c r="D1467" s="12" t="s">
        <v>4397</v>
      </c>
      <c r="E1467" s="12" t="s">
        <v>3</v>
      </c>
      <c r="F1467" s="12" t="s">
        <v>4398</v>
      </c>
    </row>
    <row x14ac:dyDescent="0.25" r="1468" customHeight="1" ht="18.75" hidden="1">
      <c r="A1468" s="12" t="s">
        <v>4399</v>
      </c>
      <c r="B1468" s="9">
        <v>45525</v>
      </c>
      <c r="C1468" s="12" t="s">
        <v>3</v>
      </c>
      <c r="D1468" s="12" t="s">
        <v>4400</v>
      </c>
      <c r="E1468" s="12" t="s">
        <v>3</v>
      </c>
      <c r="F1468" s="12" t="s">
        <v>4401</v>
      </c>
    </row>
    <row x14ac:dyDescent="0.25" r="1469" customHeight="1" ht="18.75" hidden="1">
      <c r="A1469" s="12" t="s">
        <v>4402</v>
      </c>
      <c r="B1469" s="9">
        <v>45525</v>
      </c>
      <c r="C1469" s="12" t="s">
        <v>3</v>
      </c>
      <c r="D1469" s="12" t="s">
        <v>4403</v>
      </c>
      <c r="E1469" s="12" t="s">
        <v>3</v>
      </c>
      <c r="F1469" s="12" t="s">
        <v>4404</v>
      </c>
    </row>
    <row x14ac:dyDescent="0.25" r="1470" customHeight="1" ht="18.75" hidden="1">
      <c r="A1470" s="12" t="s">
        <v>4405</v>
      </c>
      <c r="B1470" s="9">
        <v>45524</v>
      </c>
      <c r="C1470" s="12" t="s">
        <v>3</v>
      </c>
      <c r="D1470" s="12" t="s">
        <v>4406</v>
      </c>
      <c r="E1470" s="12" t="s">
        <v>3</v>
      </c>
      <c r="F1470" s="12" t="s">
        <v>4407</v>
      </c>
    </row>
    <row x14ac:dyDescent="0.25" r="1471" customHeight="1" ht="18.75" hidden="1">
      <c r="A1471" s="12" t="s">
        <v>4408</v>
      </c>
      <c r="B1471" s="9">
        <v>45524</v>
      </c>
      <c r="C1471" s="12" t="s">
        <v>2</v>
      </c>
      <c r="D1471" s="12" t="s">
        <v>4409</v>
      </c>
      <c r="E1471" s="12" t="s">
        <v>2</v>
      </c>
      <c r="F1471" s="12" t="s">
        <v>4410</v>
      </c>
    </row>
    <row x14ac:dyDescent="0.25" r="1472" customHeight="1" ht="18.75" hidden="1">
      <c r="A1472" s="12" t="s">
        <v>4411</v>
      </c>
      <c r="B1472" s="9">
        <v>45524</v>
      </c>
      <c r="C1472" s="12" t="s">
        <v>3</v>
      </c>
      <c r="D1472" s="12" t="s">
        <v>4412</v>
      </c>
      <c r="E1472" s="12" t="s">
        <v>3</v>
      </c>
      <c r="F1472" s="12" t="s">
        <v>4413</v>
      </c>
    </row>
    <row x14ac:dyDescent="0.25" r="1473" customHeight="1" ht="18.75" hidden="1">
      <c r="A1473" s="12" t="s">
        <v>4414</v>
      </c>
      <c r="B1473" s="9">
        <v>45524</v>
      </c>
      <c r="C1473" s="12" t="s">
        <v>2</v>
      </c>
      <c r="D1473" s="12" t="s">
        <v>4415</v>
      </c>
      <c r="E1473" s="12" t="s">
        <v>2</v>
      </c>
      <c r="F1473" s="12" t="s">
        <v>4416</v>
      </c>
    </row>
    <row x14ac:dyDescent="0.25" r="1474" customHeight="1" ht="18.75" hidden="1">
      <c r="A1474" s="12" t="s">
        <v>4417</v>
      </c>
      <c r="B1474" s="9">
        <v>45523</v>
      </c>
      <c r="C1474" s="12" t="s">
        <v>3</v>
      </c>
      <c r="D1474" s="12" t="s">
        <v>4418</v>
      </c>
      <c r="E1474" s="12" t="s">
        <v>3</v>
      </c>
      <c r="F1474" s="12" t="s">
        <v>4419</v>
      </c>
    </row>
    <row x14ac:dyDescent="0.25" r="1475" customHeight="1" ht="18.75" hidden="1">
      <c r="A1475" s="12" t="s">
        <v>4420</v>
      </c>
      <c r="B1475" s="9">
        <v>45519</v>
      </c>
      <c r="C1475" s="12" t="s">
        <v>2</v>
      </c>
      <c r="D1475" s="12" t="s">
        <v>4421</v>
      </c>
      <c r="E1475" s="12" t="s">
        <v>2</v>
      </c>
      <c r="F1475" s="12" t="s">
        <v>4422</v>
      </c>
    </row>
    <row x14ac:dyDescent="0.25" r="1476" customHeight="1" ht="18.75" hidden="1">
      <c r="A1476" s="12" t="s">
        <v>4423</v>
      </c>
      <c r="B1476" s="9">
        <v>45518</v>
      </c>
      <c r="C1476" s="12" t="s">
        <v>2</v>
      </c>
      <c r="D1476" s="12" t="s">
        <v>4424</v>
      </c>
      <c r="E1476" s="12" t="s">
        <v>2</v>
      </c>
      <c r="F1476" s="12" t="s">
        <v>4425</v>
      </c>
    </row>
    <row x14ac:dyDescent="0.25" r="1477" customHeight="1" ht="18.75" hidden="1">
      <c r="A1477" s="12" t="s">
        <v>4426</v>
      </c>
      <c r="B1477" s="9">
        <v>45518</v>
      </c>
      <c r="C1477" s="12" t="s">
        <v>3</v>
      </c>
      <c r="D1477" s="12" t="s">
        <v>4427</v>
      </c>
      <c r="E1477" s="12" t="s">
        <v>3</v>
      </c>
      <c r="F1477" s="12" t="s">
        <v>4428</v>
      </c>
    </row>
    <row x14ac:dyDescent="0.25" r="1478" customHeight="1" ht="18.75" hidden="1">
      <c r="A1478" s="12" t="s">
        <v>4429</v>
      </c>
      <c r="B1478" s="9">
        <v>45517</v>
      </c>
      <c r="C1478" s="12" t="s">
        <v>3</v>
      </c>
      <c r="D1478" s="12" t="s">
        <v>4430</v>
      </c>
      <c r="E1478" s="12" t="s">
        <v>3</v>
      </c>
      <c r="F1478" s="12" t="s">
        <v>4431</v>
      </c>
    </row>
    <row x14ac:dyDescent="0.25" r="1479" customHeight="1" ht="18.75" hidden="1">
      <c r="A1479" s="12" t="s">
        <v>4432</v>
      </c>
      <c r="B1479" s="9">
        <v>45516</v>
      </c>
      <c r="C1479" s="12" t="s">
        <v>2</v>
      </c>
      <c r="D1479" s="12" t="s">
        <v>4433</v>
      </c>
      <c r="E1479" s="12" t="s">
        <v>2</v>
      </c>
      <c r="F1479" s="12" t="s">
        <v>4434</v>
      </c>
    </row>
    <row x14ac:dyDescent="0.25" r="1480" customHeight="1" ht="18.75" hidden="1">
      <c r="A1480" s="12" t="s">
        <v>4435</v>
      </c>
      <c r="B1480" s="9">
        <v>45515</v>
      </c>
      <c r="C1480" s="12" t="s">
        <v>3</v>
      </c>
      <c r="D1480" s="12" t="s">
        <v>4436</v>
      </c>
      <c r="E1480" s="12" t="s">
        <v>3</v>
      </c>
      <c r="F1480" s="12" t="s">
        <v>4437</v>
      </c>
    </row>
    <row x14ac:dyDescent="0.25" r="1481" customHeight="1" ht="18.75" hidden="1">
      <c r="A1481" s="12" t="s">
        <v>4438</v>
      </c>
      <c r="B1481" s="9">
        <v>45512</v>
      </c>
      <c r="C1481" s="12" t="s">
        <v>3</v>
      </c>
      <c r="D1481" s="12" t="s">
        <v>4439</v>
      </c>
      <c r="E1481" s="12" t="s">
        <v>3</v>
      </c>
      <c r="F1481" s="12" t="s">
        <v>4440</v>
      </c>
    </row>
    <row x14ac:dyDescent="0.25" r="1482" customHeight="1" ht="18.75" hidden="1">
      <c r="A1482" s="12" t="s">
        <v>4441</v>
      </c>
      <c r="B1482" s="9">
        <v>45511</v>
      </c>
      <c r="C1482" s="12" t="s">
        <v>2</v>
      </c>
      <c r="D1482" s="12" t="s">
        <v>4442</v>
      </c>
      <c r="E1482" s="12" t="s">
        <v>2</v>
      </c>
      <c r="F1482" s="12" t="s">
        <v>4443</v>
      </c>
    </row>
    <row x14ac:dyDescent="0.25" r="1483" customHeight="1" ht="18.75" hidden="1">
      <c r="A1483" s="12" t="s">
        <v>4444</v>
      </c>
      <c r="B1483" s="9">
        <v>45511</v>
      </c>
      <c r="C1483" s="12" t="s">
        <v>2</v>
      </c>
      <c r="D1483" s="12" t="s">
        <v>4445</v>
      </c>
      <c r="E1483" s="12" t="s">
        <v>2</v>
      </c>
      <c r="F1483" s="12" t="s">
        <v>4446</v>
      </c>
    </row>
    <row x14ac:dyDescent="0.25" r="1484" customHeight="1" ht="18.75" hidden="1">
      <c r="A1484" s="12" t="s">
        <v>4447</v>
      </c>
      <c r="B1484" s="9">
        <v>45511</v>
      </c>
      <c r="C1484" s="12" t="s">
        <v>2</v>
      </c>
      <c r="D1484" s="12" t="s">
        <v>4448</v>
      </c>
      <c r="E1484" s="12" t="s">
        <v>2</v>
      </c>
      <c r="F1484" s="12" t="s">
        <v>4449</v>
      </c>
    </row>
    <row x14ac:dyDescent="0.25" r="1485" customHeight="1" ht="18.75" hidden="1">
      <c r="A1485" s="12" t="s">
        <v>4450</v>
      </c>
      <c r="B1485" s="9">
        <v>45510</v>
      </c>
      <c r="C1485" s="12" t="s">
        <v>2</v>
      </c>
      <c r="D1485" s="12" t="s">
        <v>4451</v>
      </c>
      <c r="E1485" s="12" t="s">
        <v>2</v>
      </c>
      <c r="F1485" s="12" t="s">
        <v>4452</v>
      </c>
    </row>
    <row x14ac:dyDescent="0.25" r="1486" customHeight="1" ht="18.75" hidden="1">
      <c r="A1486" s="12" t="s">
        <v>4453</v>
      </c>
      <c r="B1486" s="9">
        <v>45510</v>
      </c>
      <c r="C1486" s="12" t="s">
        <v>3</v>
      </c>
      <c r="D1486" s="12" t="s">
        <v>4454</v>
      </c>
      <c r="E1486" s="12" t="s">
        <v>3</v>
      </c>
      <c r="F1486" s="12" t="s">
        <v>4455</v>
      </c>
    </row>
    <row x14ac:dyDescent="0.25" r="1487" customHeight="1" ht="18.75" hidden="1">
      <c r="A1487" s="12" t="s">
        <v>4456</v>
      </c>
      <c r="B1487" s="9">
        <v>45510</v>
      </c>
      <c r="C1487" s="12" t="s">
        <v>2</v>
      </c>
      <c r="D1487" s="12" t="s">
        <v>4457</v>
      </c>
      <c r="E1487" s="12" t="s">
        <v>2</v>
      </c>
      <c r="F1487" s="12" t="s">
        <v>4458</v>
      </c>
    </row>
    <row x14ac:dyDescent="0.25" r="1488" customHeight="1" ht="18.75" hidden="1">
      <c r="A1488" s="12" t="s">
        <v>4459</v>
      </c>
      <c r="B1488" s="9">
        <v>45509</v>
      </c>
      <c r="C1488" s="12" t="s">
        <v>2</v>
      </c>
      <c r="D1488" s="12" t="s">
        <v>4460</v>
      </c>
      <c r="E1488" s="12" t="s">
        <v>2</v>
      </c>
      <c r="F1488" s="12" t="s">
        <v>4461</v>
      </c>
    </row>
    <row x14ac:dyDescent="0.25" r="1489" customHeight="1" ht="18.75" hidden="1">
      <c r="A1489" s="12" t="s">
        <v>4462</v>
      </c>
      <c r="B1489" s="9">
        <v>45509</v>
      </c>
      <c r="C1489" s="12" t="s">
        <v>2</v>
      </c>
      <c r="D1489" s="12" t="s">
        <v>4463</v>
      </c>
      <c r="E1489" s="12" t="s">
        <v>2</v>
      </c>
      <c r="F1489" s="12" t="s">
        <v>4464</v>
      </c>
    </row>
    <row x14ac:dyDescent="0.25" r="1490" customHeight="1" ht="18.75" hidden="1">
      <c r="A1490" s="12" t="s">
        <v>4465</v>
      </c>
      <c r="B1490" s="9">
        <v>45509</v>
      </c>
      <c r="C1490" s="12" t="s">
        <v>3</v>
      </c>
      <c r="D1490" s="12" t="s">
        <v>4466</v>
      </c>
      <c r="E1490" s="12" t="s">
        <v>3</v>
      </c>
      <c r="F1490" s="12" t="s">
        <v>4467</v>
      </c>
    </row>
    <row x14ac:dyDescent="0.25" r="1491" customHeight="1" ht="18.75" hidden="1">
      <c r="A1491" s="12" t="s">
        <v>4468</v>
      </c>
      <c r="B1491" s="9">
        <v>45509</v>
      </c>
      <c r="C1491" s="12" t="s">
        <v>3</v>
      </c>
      <c r="D1491" s="12" t="s">
        <v>4469</v>
      </c>
      <c r="E1491" s="12" t="s">
        <v>3</v>
      </c>
      <c r="F1491" s="12" t="s">
        <v>4470</v>
      </c>
    </row>
    <row x14ac:dyDescent="0.25" r="1492" customHeight="1" ht="18.75" hidden="1">
      <c r="A1492" s="12" t="s">
        <v>4471</v>
      </c>
      <c r="B1492" s="9">
        <v>45509</v>
      </c>
      <c r="C1492" s="12" t="s">
        <v>2</v>
      </c>
      <c r="D1492" s="12" t="s">
        <v>4472</v>
      </c>
      <c r="E1492" s="12" t="s">
        <v>2</v>
      </c>
      <c r="F1492" s="12" t="s">
        <v>4473</v>
      </c>
    </row>
    <row x14ac:dyDescent="0.25" r="1493" customHeight="1" ht="18.75" hidden="1">
      <c r="A1493" s="12" t="s">
        <v>4474</v>
      </c>
      <c r="B1493" s="9">
        <v>45509</v>
      </c>
      <c r="C1493" s="12" t="s">
        <v>2</v>
      </c>
      <c r="D1493" s="12" t="s">
        <v>4475</v>
      </c>
      <c r="E1493" s="12" t="s">
        <v>3</v>
      </c>
      <c r="F1493" s="12" t="s">
        <v>4476</v>
      </c>
    </row>
    <row x14ac:dyDescent="0.25" r="1494" customHeight="1" ht="18.75" hidden="1">
      <c r="A1494" s="12" t="s">
        <v>4477</v>
      </c>
      <c r="B1494" s="9">
        <v>45509</v>
      </c>
      <c r="C1494" s="12" t="s">
        <v>2</v>
      </c>
      <c r="D1494" s="12" t="s">
        <v>4478</v>
      </c>
      <c r="E1494" s="12" t="s">
        <v>2</v>
      </c>
      <c r="F1494" s="12" t="s">
        <v>4479</v>
      </c>
    </row>
    <row x14ac:dyDescent="0.25" r="1495" customHeight="1" ht="18.75" hidden="1">
      <c r="A1495" s="12" t="s">
        <v>4480</v>
      </c>
      <c r="B1495" s="9">
        <v>45508</v>
      </c>
      <c r="C1495" s="12" t="s">
        <v>2</v>
      </c>
      <c r="D1495" s="12" t="s">
        <v>4481</v>
      </c>
      <c r="E1495" s="12" t="s">
        <v>2</v>
      </c>
      <c r="F1495" s="12" t="s">
        <v>4482</v>
      </c>
    </row>
    <row x14ac:dyDescent="0.25" r="1496" customHeight="1" ht="18.75" hidden="1">
      <c r="A1496" s="12" t="s">
        <v>4483</v>
      </c>
      <c r="B1496" s="9">
        <v>45506</v>
      </c>
      <c r="C1496" s="12" t="s">
        <v>3</v>
      </c>
      <c r="D1496" s="12" t="s">
        <v>4484</v>
      </c>
      <c r="E1496" s="12" t="s">
        <v>3</v>
      </c>
      <c r="F1496" s="12" t="s">
        <v>4485</v>
      </c>
    </row>
    <row x14ac:dyDescent="0.25" r="1497" customHeight="1" ht="18.75" hidden="1">
      <c r="A1497" s="12" t="s">
        <v>4486</v>
      </c>
      <c r="B1497" s="9">
        <v>45506</v>
      </c>
      <c r="C1497" s="12" t="s">
        <v>2</v>
      </c>
      <c r="D1497" s="12" t="s">
        <v>4487</v>
      </c>
      <c r="E1497" s="12" t="s">
        <v>2</v>
      </c>
      <c r="F1497" s="12" t="s">
        <v>4488</v>
      </c>
    </row>
    <row x14ac:dyDescent="0.25" r="1498" customHeight="1" ht="18.75" hidden="1">
      <c r="A1498" s="12" t="s">
        <v>4489</v>
      </c>
      <c r="B1498" s="9">
        <v>45506</v>
      </c>
      <c r="C1498" s="12" t="s">
        <v>3</v>
      </c>
      <c r="D1498" s="12" t="s">
        <v>4490</v>
      </c>
      <c r="E1498" s="12" t="s">
        <v>3</v>
      </c>
      <c r="F1498" s="12" t="s">
        <v>4491</v>
      </c>
    </row>
    <row x14ac:dyDescent="0.25" r="1499" customHeight="1" ht="18.75" hidden="1">
      <c r="A1499" s="12" t="s">
        <v>4492</v>
      </c>
      <c r="B1499" s="9">
        <v>45506</v>
      </c>
      <c r="C1499" s="12" t="s">
        <v>3</v>
      </c>
      <c r="D1499" s="12" t="s">
        <v>4493</v>
      </c>
      <c r="E1499" s="12" t="s">
        <v>3</v>
      </c>
      <c r="F1499" s="12" t="s">
        <v>4494</v>
      </c>
    </row>
    <row x14ac:dyDescent="0.25" r="1500" customHeight="1" ht="18.75" hidden="1">
      <c r="A1500" s="12" t="s">
        <v>4495</v>
      </c>
      <c r="B1500" s="9">
        <v>45505</v>
      </c>
      <c r="C1500" s="12" t="s">
        <v>3</v>
      </c>
      <c r="D1500" s="12" t="s">
        <v>4496</v>
      </c>
      <c r="E1500" s="12" t="s">
        <v>3</v>
      </c>
      <c r="F1500" s="12" t="s">
        <v>4497</v>
      </c>
    </row>
    <row x14ac:dyDescent="0.25" r="1501" customHeight="1" ht="18.75" hidden="1">
      <c r="A1501" s="12" t="s">
        <v>4498</v>
      </c>
      <c r="B1501" s="9">
        <v>45505</v>
      </c>
      <c r="C1501" s="12" t="s">
        <v>3</v>
      </c>
      <c r="D1501" s="12" t="s">
        <v>4499</v>
      </c>
      <c r="E1501" s="12" t="s">
        <v>3</v>
      </c>
      <c r="F1501" s="12" t="s">
        <v>4500</v>
      </c>
    </row>
    <row x14ac:dyDescent="0.25" r="1502" customHeight="1" ht="18.75" hidden="1">
      <c r="A1502" s="12" t="s">
        <v>4501</v>
      </c>
      <c r="B1502" s="9">
        <v>45505</v>
      </c>
      <c r="C1502" s="12" t="s">
        <v>3</v>
      </c>
      <c r="D1502" s="12" t="s">
        <v>4502</v>
      </c>
      <c r="E1502" s="12" t="s">
        <v>3</v>
      </c>
      <c r="F1502" s="12" t="s">
        <v>4503</v>
      </c>
    </row>
    <row x14ac:dyDescent="0.25" r="1503" customHeight="1" ht="18.75" hidden="1">
      <c r="A1503" s="12" t="s">
        <v>4504</v>
      </c>
      <c r="B1503" s="9">
        <v>45504</v>
      </c>
      <c r="C1503" s="12" t="s">
        <v>2</v>
      </c>
      <c r="D1503" s="12" t="s">
        <v>4505</v>
      </c>
      <c r="E1503" s="12" t="s">
        <v>2</v>
      </c>
      <c r="F1503" s="12" t="s">
        <v>4506</v>
      </c>
    </row>
    <row x14ac:dyDescent="0.25" r="1504" customHeight="1" ht="18.75" hidden="1">
      <c r="A1504" s="12" t="s">
        <v>4507</v>
      </c>
      <c r="B1504" s="9">
        <v>45504</v>
      </c>
      <c r="C1504" s="12" t="s">
        <v>101</v>
      </c>
      <c r="D1504" s="12" t="s">
        <v>4508</v>
      </c>
      <c r="E1504" s="12" t="s">
        <v>3</v>
      </c>
      <c r="F1504" s="12" t="s">
        <v>4509</v>
      </c>
    </row>
    <row x14ac:dyDescent="0.25" r="1505" customHeight="1" ht="18.75" hidden="1">
      <c r="A1505" s="12" t="s">
        <v>4510</v>
      </c>
      <c r="B1505" s="9">
        <v>45503</v>
      </c>
      <c r="C1505" s="12" t="s">
        <v>2</v>
      </c>
      <c r="D1505" s="12" t="s">
        <v>4511</v>
      </c>
      <c r="E1505" s="12" t="s">
        <v>2</v>
      </c>
      <c r="F1505" s="12" t="s">
        <v>4512</v>
      </c>
    </row>
    <row x14ac:dyDescent="0.25" r="1506" customHeight="1" ht="18.75" hidden="1">
      <c r="A1506" s="12" t="s">
        <v>4513</v>
      </c>
      <c r="B1506" s="9">
        <v>45503</v>
      </c>
      <c r="C1506" s="12" t="s">
        <v>3</v>
      </c>
      <c r="D1506" s="12" t="s">
        <v>4514</v>
      </c>
      <c r="E1506" s="12" t="s">
        <v>3</v>
      </c>
      <c r="F1506" s="12" t="s">
        <v>4515</v>
      </c>
    </row>
    <row x14ac:dyDescent="0.25" r="1507" customHeight="1" ht="18.75" hidden="1">
      <c r="A1507" s="12" t="s">
        <v>4516</v>
      </c>
      <c r="B1507" s="9">
        <v>45503</v>
      </c>
      <c r="C1507" s="12" t="s">
        <v>2</v>
      </c>
      <c r="D1507" s="12" t="s">
        <v>4517</v>
      </c>
      <c r="E1507" s="12" t="s">
        <v>2</v>
      </c>
      <c r="F1507" s="12" t="s">
        <v>4518</v>
      </c>
    </row>
    <row x14ac:dyDescent="0.25" r="1508" customHeight="1" ht="18.75" hidden="1">
      <c r="A1508" s="12" t="s">
        <v>4519</v>
      </c>
      <c r="B1508" s="9">
        <v>45502</v>
      </c>
      <c r="C1508" s="12" t="s">
        <v>2</v>
      </c>
      <c r="D1508" s="12" t="s">
        <v>4520</v>
      </c>
      <c r="E1508" s="12" t="s">
        <v>2</v>
      </c>
      <c r="F1508" s="12" t="s">
        <v>4521</v>
      </c>
    </row>
    <row x14ac:dyDescent="0.25" r="1509" customHeight="1" ht="18.75">
      <c r="A1509" s="12" t="s">
        <v>4522</v>
      </c>
      <c r="B1509" s="9">
        <v>45499</v>
      </c>
      <c r="C1509" s="12" t="s">
        <v>101</v>
      </c>
      <c r="D1509" s="12" t="s">
        <v>4523</v>
      </c>
      <c r="E1509" s="12" t="s">
        <v>13</v>
      </c>
      <c r="F1509" s="12" t="s">
        <v>4524</v>
      </c>
    </row>
    <row x14ac:dyDescent="0.25" r="1510" customHeight="1" ht="18.75" hidden="1">
      <c r="A1510" s="12" t="s">
        <v>4525</v>
      </c>
      <c r="B1510" s="9">
        <v>45499</v>
      </c>
      <c r="C1510" s="12" t="s">
        <v>3</v>
      </c>
      <c r="D1510" s="12" t="s">
        <v>4526</v>
      </c>
      <c r="E1510" s="12" t="s">
        <v>3</v>
      </c>
      <c r="F1510" s="12" t="s">
        <v>4527</v>
      </c>
    </row>
    <row x14ac:dyDescent="0.25" r="1511" customHeight="1" ht="18.75" hidden="1">
      <c r="A1511" s="12" t="s">
        <v>4528</v>
      </c>
      <c r="B1511" s="9">
        <v>45499</v>
      </c>
      <c r="C1511" s="12" t="s">
        <v>3</v>
      </c>
      <c r="D1511" s="12" t="s">
        <v>4529</v>
      </c>
      <c r="E1511" s="12" t="s">
        <v>3</v>
      </c>
      <c r="F1511" s="12" t="s">
        <v>4530</v>
      </c>
    </row>
    <row x14ac:dyDescent="0.25" r="1512" customHeight="1" ht="18.75" hidden="1">
      <c r="A1512" s="12" t="s">
        <v>4531</v>
      </c>
      <c r="B1512" s="9">
        <v>45498</v>
      </c>
      <c r="C1512" s="12" t="s">
        <v>3</v>
      </c>
      <c r="D1512" s="12" t="s">
        <v>4532</v>
      </c>
      <c r="E1512" s="12" t="s">
        <v>3</v>
      </c>
      <c r="F1512" s="12" t="s">
        <v>4533</v>
      </c>
    </row>
    <row x14ac:dyDescent="0.25" r="1513" customHeight="1" ht="18.75" hidden="1">
      <c r="A1513" s="12" t="s">
        <v>4534</v>
      </c>
      <c r="B1513" s="9">
        <v>45497</v>
      </c>
      <c r="C1513" s="12" t="s">
        <v>3</v>
      </c>
      <c r="D1513" s="12" t="s">
        <v>4535</v>
      </c>
      <c r="E1513" s="12" t="s">
        <v>3</v>
      </c>
      <c r="F1513" s="12" t="s">
        <v>4536</v>
      </c>
    </row>
    <row x14ac:dyDescent="0.25" r="1514" customHeight="1" ht="18.75" hidden="1">
      <c r="A1514" s="12" t="s">
        <v>4537</v>
      </c>
      <c r="B1514" s="9">
        <v>45496</v>
      </c>
      <c r="C1514" s="12" t="s">
        <v>2</v>
      </c>
      <c r="D1514" s="12" t="s">
        <v>4538</v>
      </c>
      <c r="E1514" s="12" t="s">
        <v>2</v>
      </c>
      <c r="F1514" s="12" t="s">
        <v>4539</v>
      </c>
    </row>
    <row x14ac:dyDescent="0.25" r="1515" customHeight="1" ht="18.75" hidden="1">
      <c r="A1515" s="12" t="s">
        <v>4540</v>
      </c>
      <c r="B1515" s="9">
        <v>45496</v>
      </c>
      <c r="C1515" s="12" t="s">
        <v>3</v>
      </c>
      <c r="D1515" s="12" t="s">
        <v>4541</v>
      </c>
      <c r="E1515" s="12" t="s">
        <v>3</v>
      </c>
      <c r="F1515" s="12" t="s">
        <v>4542</v>
      </c>
    </row>
    <row x14ac:dyDescent="0.25" r="1516" customHeight="1" ht="18.75" hidden="1">
      <c r="A1516" s="12" t="s">
        <v>4543</v>
      </c>
      <c r="B1516" s="9">
        <v>45496</v>
      </c>
      <c r="C1516" s="12" t="s">
        <v>2</v>
      </c>
      <c r="D1516" s="12" t="s">
        <v>4544</v>
      </c>
      <c r="E1516" s="12" t="s">
        <v>2</v>
      </c>
      <c r="F1516" s="12" t="s">
        <v>4545</v>
      </c>
    </row>
    <row x14ac:dyDescent="0.25" r="1517" customHeight="1" ht="18.75" hidden="1">
      <c r="A1517" s="12" t="s">
        <v>4546</v>
      </c>
      <c r="B1517" s="9">
        <v>45495</v>
      </c>
      <c r="C1517" s="12" t="s">
        <v>3</v>
      </c>
      <c r="D1517" s="12" t="s">
        <v>4547</v>
      </c>
      <c r="E1517" s="12" t="s">
        <v>3</v>
      </c>
      <c r="F1517" s="12" t="s">
        <v>4548</v>
      </c>
    </row>
    <row x14ac:dyDescent="0.25" r="1518" customHeight="1" ht="18.75" hidden="1">
      <c r="A1518" s="12" t="s">
        <v>4549</v>
      </c>
      <c r="B1518" s="9">
        <v>45493</v>
      </c>
      <c r="C1518" s="12" t="s">
        <v>2</v>
      </c>
      <c r="D1518" s="12" t="s">
        <v>4550</v>
      </c>
      <c r="E1518" s="12" t="s">
        <v>3</v>
      </c>
      <c r="F1518" s="12" t="s">
        <v>4551</v>
      </c>
    </row>
    <row x14ac:dyDescent="0.25" r="1519" customHeight="1" ht="18.75" hidden="1">
      <c r="A1519" s="12" t="s">
        <v>4552</v>
      </c>
      <c r="B1519" s="9">
        <v>45492</v>
      </c>
      <c r="C1519" s="12" t="s">
        <v>3</v>
      </c>
      <c r="D1519" s="12" t="s">
        <v>4553</v>
      </c>
      <c r="E1519" s="12" t="s">
        <v>3</v>
      </c>
      <c r="F1519" s="12" t="s">
        <v>4554</v>
      </c>
    </row>
    <row x14ac:dyDescent="0.25" r="1520" customHeight="1" ht="18.75" hidden="1">
      <c r="A1520" s="12" t="s">
        <v>4555</v>
      </c>
      <c r="B1520" s="9">
        <v>45492</v>
      </c>
      <c r="C1520" s="12" t="s">
        <v>3</v>
      </c>
      <c r="D1520" s="12" t="s">
        <v>4556</v>
      </c>
      <c r="E1520" s="12" t="s">
        <v>3</v>
      </c>
      <c r="F1520" s="12" t="s">
        <v>4557</v>
      </c>
    </row>
    <row x14ac:dyDescent="0.25" r="1521" customHeight="1" ht="18.75" hidden="1">
      <c r="A1521" s="12" t="s">
        <v>4558</v>
      </c>
      <c r="B1521" s="9">
        <v>45491</v>
      </c>
      <c r="C1521" s="12" t="s">
        <v>2</v>
      </c>
      <c r="D1521" s="12" t="s">
        <v>4559</v>
      </c>
      <c r="E1521" s="12" t="s">
        <v>2</v>
      </c>
      <c r="F1521" s="12" t="s">
        <v>4560</v>
      </c>
    </row>
    <row x14ac:dyDescent="0.25" r="1522" customHeight="1" ht="18.75" hidden="1">
      <c r="A1522" s="12" t="s">
        <v>4561</v>
      </c>
      <c r="B1522" s="9">
        <v>45491</v>
      </c>
      <c r="C1522" s="12" t="s">
        <v>3</v>
      </c>
      <c r="D1522" s="12" t="s">
        <v>4562</v>
      </c>
      <c r="E1522" s="12" t="s">
        <v>3</v>
      </c>
      <c r="F1522" s="12" t="s">
        <v>4563</v>
      </c>
    </row>
    <row x14ac:dyDescent="0.25" r="1523" customHeight="1" ht="18.75" hidden="1">
      <c r="A1523" s="12" t="s">
        <v>4564</v>
      </c>
      <c r="B1523" s="9">
        <v>45490</v>
      </c>
      <c r="C1523" s="12" t="s">
        <v>2</v>
      </c>
      <c r="D1523" s="12" t="s">
        <v>4565</v>
      </c>
      <c r="E1523" s="12" t="s">
        <v>2</v>
      </c>
      <c r="F1523" s="12" t="s">
        <v>4566</v>
      </c>
    </row>
    <row x14ac:dyDescent="0.25" r="1524" customHeight="1" ht="18.75" hidden="1">
      <c r="A1524" s="12" t="s">
        <v>4567</v>
      </c>
      <c r="B1524" s="9">
        <v>45490</v>
      </c>
      <c r="C1524" s="12" t="s">
        <v>2</v>
      </c>
      <c r="D1524" s="12" t="s">
        <v>4568</v>
      </c>
      <c r="E1524" s="12" t="s">
        <v>2</v>
      </c>
      <c r="F1524" s="12" t="s">
        <v>4569</v>
      </c>
    </row>
    <row x14ac:dyDescent="0.25" r="1525" customHeight="1" ht="18.75">
      <c r="A1525" s="12" t="s">
        <v>4570</v>
      </c>
      <c r="B1525" s="9">
        <v>45489</v>
      </c>
      <c r="C1525" s="12" t="s">
        <v>101</v>
      </c>
      <c r="D1525" s="12" t="s">
        <v>4571</v>
      </c>
      <c r="E1525" s="12" t="s">
        <v>13</v>
      </c>
      <c r="F1525" s="12" t="s">
        <v>4572</v>
      </c>
    </row>
    <row x14ac:dyDescent="0.25" r="1526" customHeight="1" ht="18.75" hidden="1">
      <c r="A1526" s="12" t="s">
        <v>4573</v>
      </c>
      <c r="B1526" s="9">
        <v>45489</v>
      </c>
      <c r="C1526" s="12" t="s">
        <v>2</v>
      </c>
      <c r="D1526" s="12" t="s">
        <v>4574</v>
      </c>
      <c r="E1526" s="12" t="s">
        <v>2</v>
      </c>
      <c r="F1526" s="12" t="s">
        <v>4575</v>
      </c>
    </row>
    <row x14ac:dyDescent="0.25" r="1527" customHeight="1" ht="18.75" hidden="1">
      <c r="A1527" s="12" t="s">
        <v>4576</v>
      </c>
      <c r="B1527" s="9">
        <v>45488</v>
      </c>
      <c r="C1527" s="12" t="s">
        <v>3</v>
      </c>
      <c r="D1527" s="12" t="s">
        <v>4577</v>
      </c>
      <c r="E1527" s="12" t="s">
        <v>3</v>
      </c>
      <c r="F1527" s="12" t="s">
        <v>4578</v>
      </c>
    </row>
    <row x14ac:dyDescent="0.25" r="1528" customHeight="1" ht="18.75" hidden="1">
      <c r="A1528" s="12" t="s">
        <v>4579</v>
      </c>
      <c r="B1528" s="9">
        <v>45485</v>
      </c>
      <c r="C1528" s="12" t="s">
        <v>2</v>
      </c>
      <c r="D1528" s="12" t="s">
        <v>4580</v>
      </c>
      <c r="E1528" s="12" t="s">
        <v>2</v>
      </c>
      <c r="F1528" s="12" t="s">
        <v>4581</v>
      </c>
    </row>
    <row x14ac:dyDescent="0.25" r="1529" customHeight="1" ht="18.75" hidden="1">
      <c r="A1529" s="12" t="s">
        <v>4582</v>
      </c>
      <c r="B1529" s="9">
        <v>45485</v>
      </c>
      <c r="C1529" s="12" t="s">
        <v>3</v>
      </c>
      <c r="D1529" s="12" t="s">
        <v>4583</v>
      </c>
      <c r="E1529" s="12" t="s">
        <v>3</v>
      </c>
      <c r="F1529" s="12" t="s">
        <v>4584</v>
      </c>
    </row>
    <row x14ac:dyDescent="0.25" r="1530" customHeight="1" ht="18.75">
      <c r="A1530" s="12" t="s">
        <v>4585</v>
      </c>
      <c r="B1530" s="9">
        <v>45485</v>
      </c>
      <c r="C1530" s="12" t="s">
        <v>101</v>
      </c>
      <c r="D1530" s="12" t="s">
        <v>4586</v>
      </c>
      <c r="E1530" s="12" t="s">
        <v>13</v>
      </c>
      <c r="F1530" s="12" t="s">
        <v>4587</v>
      </c>
    </row>
    <row x14ac:dyDescent="0.25" r="1531" customHeight="1" ht="18.75" hidden="1">
      <c r="A1531" s="12" t="s">
        <v>4588</v>
      </c>
      <c r="B1531" s="9">
        <v>45484</v>
      </c>
      <c r="C1531" s="12" t="s">
        <v>3</v>
      </c>
      <c r="D1531" s="12" t="s">
        <v>4589</v>
      </c>
      <c r="E1531" s="12" t="s">
        <v>3</v>
      </c>
      <c r="F1531" s="12" t="s">
        <v>4590</v>
      </c>
    </row>
    <row x14ac:dyDescent="0.25" r="1532" customHeight="1" ht="18.75" hidden="1">
      <c r="A1532" s="12" t="s">
        <v>4591</v>
      </c>
      <c r="B1532" s="9">
        <v>45484</v>
      </c>
      <c r="C1532" s="12" t="s">
        <v>2</v>
      </c>
      <c r="D1532" s="12" t="s">
        <v>4592</v>
      </c>
      <c r="E1532" s="12" t="s">
        <v>2</v>
      </c>
      <c r="F1532" s="12" t="s">
        <v>4593</v>
      </c>
    </row>
    <row x14ac:dyDescent="0.25" r="1533" customHeight="1" ht="18.75" hidden="1">
      <c r="A1533" s="12" t="s">
        <v>4594</v>
      </c>
      <c r="B1533" s="9">
        <v>45483</v>
      </c>
      <c r="C1533" s="12" t="s">
        <v>2</v>
      </c>
      <c r="D1533" s="12" t="s">
        <v>4595</v>
      </c>
      <c r="E1533" s="12" t="s">
        <v>2</v>
      </c>
      <c r="F1533" s="12" t="s">
        <v>4596</v>
      </c>
    </row>
    <row x14ac:dyDescent="0.25" r="1534" customHeight="1" ht="18.75">
      <c r="A1534" s="12" t="s">
        <v>4597</v>
      </c>
      <c r="B1534" s="9">
        <v>45483</v>
      </c>
      <c r="C1534" s="12" t="s">
        <v>13</v>
      </c>
      <c r="D1534" s="12" t="s">
        <v>4598</v>
      </c>
      <c r="E1534" s="12" t="s">
        <v>13</v>
      </c>
      <c r="F1534" s="12" t="s">
        <v>4599</v>
      </c>
    </row>
    <row x14ac:dyDescent="0.25" r="1535" customHeight="1" ht="18.75" hidden="1">
      <c r="A1535" s="12" t="s">
        <v>4600</v>
      </c>
      <c r="B1535" s="9">
        <v>45482</v>
      </c>
      <c r="C1535" s="12" t="s">
        <v>2</v>
      </c>
      <c r="D1535" s="12" t="s">
        <v>4601</v>
      </c>
      <c r="E1535" s="12" t="s">
        <v>2</v>
      </c>
      <c r="F1535" s="12" t="s">
        <v>4602</v>
      </c>
    </row>
    <row x14ac:dyDescent="0.25" r="1536" customHeight="1" ht="18.75" hidden="1">
      <c r="A1536" s="12" t="s">
        <v>4603</v>
      </c>
      <c r="B1536" s="9">
        <v>45481</v>
      </c>
      <c r="C1536" s="12" t="s">
        <v>2</v>
      </c>
      <c r="D1536" s="12" t="s">
        <v>4604</v>
      </c>
      <c r="E1536" s="12" t="s">
        <v>2</v>
      </c>
      <c r="F1536" s="12" t="s">
        <v>4605</v>
      </c>
    </row>
    <row x14ac:dyDescent="0.25" r="1537" customHeight="1" ht="18.75" hidden="1">
      <c r="A1537" s="12" t="s">
        <v>4606</v>
      </c>
      <c r="B1537" s="9">
        <v>45481</v>
      </c>
      <c r="C1537" s="12" t="s">
        <v>3</v>
      </c>
      <c r="D1537" s="12" t="s">
        <v>4607</v>
      </c>
      <c r="E1537" s="12" t="s">
        <v>3</v>
      </c>
      <c r="F1537" s="12" t="s">
        <v>4608</v>
      </c>
    </row>
    <row x14ac:dyDescent="0.25" r="1538" customHeight="1" ht="18.75">
      <c r="A1538" s="12" t="s">
        <v>4609</v>
      </c>
      <c r="B1538" s="9">
        <v>45481</v>
      </c>
      <c r="C1538" s="12" t="s">
        <v>13</v>
      </c>
      <c r="D1538" s="12" t="s">
        <v>4610</v>
      </c>
      <c r="E1538" s="12" t="s">
        <v>13</v>
      </c>
      <c r="F1538" s="12" t="s">
        <v>4611</v>
      </c>
    </row>
    <row x14ac:dyDescent="0.25" r="1539" customHeight="1" ht="18.75" hidden="1">
      <c r="A1539" s="12" t="s">
        <v>4612</v>
      </c>
      <c r="B1539" s="9">
        <v>45478</v>
      </c>
      <c r="C1539" s="12" t="s">
        <v>101</v>
      </c>
      <c r="D1539" s="12" t="s">
        <v>4613</v>
      </c>
      <c r="E1539" s="12" t="s">
        <v>2</v>
      </c>
      <c r="F1539" s="12" t="s">
        <v>4614</v>
      </c>
    </row>
    <row x14ac:dyDescent="0.25" r="1540" customHeight="1" ht="18.75" hidden="1">
      <c r="A1540" s="12" t="s">
        <v>4615</v>
      </c>
      <c r="B1540" s="9">
        <v>45478</v>
      </c>
      <c r="C1540" s="12" t="s">
        <v>2</v>
      </c>
      <c r="D1540" s="12" t="s">
        <v>4616</v>
      </c>
      <c r="E1540" s="12" t="s">
        <v>2</v>
      </c>
      <c r="F1540" s="12" t="s">
        <v>4617</v>
      </c>
    </row>
    <row x14ac:dyDescent="0.25" r="1541" customHeight="1" ht="18.75">
      <c r="A1541" s="12" t="s">
        <v>4618</v>
      </c>
      <c r="B1541" s="9">
        <v>45478</v>
      </c>
      <c r="C1541" s="12" t="s">
        <v>13</v>
      </c>
      <c r="D1541" s="12" t="s">
        <v>4619</v>
      </c>
      <c r="E1541" s="12" t="s">
        <v>13</v>
      </c>
      <c r="F1541" s="12" t="s">
        <v>4620</v>
      </c>
    </row>
    <row x14ac:dyDescent="0.25" r="1542" customHeight="1" ht="18.75" hidden="1">
      <c r="A1542" s="12" t="s">
        <v>4621</v>
      </c>
      <c r="B1542" s="9">
        <v>45477</v>
      </c>
      <c r="C1542" s="12" t="s">
        <v>2</v>
      </c>
      <c r="D1542" s="12" t="s">
        <v>4622</v>
      </c>
      <c r="E1542" s="12" t="s">
        <v>2</v>
      </c>
      <c r="F1542" s="12" t="s">
        <v>4623</v>
      </c>
    </row>
    <row x14ac:dyDescent="0.25" r="1543" customHeight="1" ht="18.75" hidden="1">
      <c r="A1543" s="12" t="s">
        <v>4624</v>
      </c>
      <c r="B1543" s="9">
        <v>45477</v>
      </c>
      <c r="C1543" s="12" t="s">
        <v>2</v>
      </c>
      <c r="D1543" s="12" t="s">
        <v>4625</v>
      </c>
      <c r="E1543" s="12" t="s">
        <v>2</v>
      </c>
      <c r="F1543" s="12" t="s">
        <v>4626</v>
      </c>
    </row>
    <row x14ac:dyDescent="0.25" r="1544" customHeight="1" ht="18.75" hidden="1">
      <c r="A1544" s="12" t="s">
        <v>4627</v>
      </c>
      <c r="B1544" s="9">
        <v>45476</v>
      </c>
      <c r="C1544" s="12" t="s">
        <v>3</v>
      </c>
      <c r="D1544" s="12" t="s">
        <v>4628</v>
      </c>
      <c r="E1544" s="12" t="s">
        <v>3</v>
      </c>
      <c r="F1544" s="12" t="s">
        <v>4629</v>
      </c>
    </row>
    <row x14ac:dyDescent="0.25" r="1545" customHeight="1" ht="18.75" hidden="1">
      <c r="A1545" s="12" t="s">
        <v>4630</v>
      </c>
      <c r="B1545" s="9">
        <v>45476</v>
      </c>
      <c r="C1545" s="12" t="s">
        <v>2</v>
      </c>
      <c r="D1545" s="12" t="s">
        <v>4631</v>
      </c>
      <c r="E1545" s="12" t="s">
        <v>2</v>
      </c>
      <c r="F1545" s="12" t="s">
        <v>4632</v>
      </c>
    </row>
    <row x14ac:dyDescent="0.25" r="1546" customHeight="1" ht="18.75" hidden="1">
      <c r="A1546" s="12" t="s">
        <v>4633</v>
      </c>
      <c r="B1546" s="9">
        <v>45476</v>
      </c>
      <c r="C1546" s="12" t="s">
        <v>2</v>
      </c>
      <c r="D1546" s="12" t="s">
        <v>4634</v>
      </c>
      <c r="E1546" s="12" t="s">
        <v>2</v>
      </c>
      <c r="F1546" s="12" t="s">
        <v>4635</v>
      </c>
    </row>
    <row x14ac:dyDescent="0.25" r="1547" customHeight="1" ht="18.75" hidden="1">
      <c r="A1547" s="12" t="s">
        <v>4636</v>
      </c>
      <c r="B1547" s="9">
        <v>45475</v>
      </c>
      <c r="C1547" s="12" t="s">
        <v>2</v>
      </c>
      <c r="D1547" s="12" t="s">
        <v>4637</v>
      </c>
      <c r="E1547" s="12" t="s">
        <v>2</v>
      </c>
      <c r="F1547" s="12" t="s">
        <v>4638</v>
      </c>
    </row>
    <row x14ac:dyDescent="0.25" r="1548" customHeight="1" ht="18.75" hidden="1">
      <c r="A1548" s="12" t="s">
        <v>4639</v>
      </c>
      <c r="B1548" s="9">
        <v>45471</v>
      </c>
      <c r="C1548" s="12" t="s">
        <v>3</v>
      </c>
      <c r="D1548" s="12" t="s">
        <v>4640</v>
      </c>
      <c r="E1548" s="12" t="s">
        <v>3</v>
      </c>
      <c r="F1548" s="12" t="s">
        <v>4641</v>
      </c>
    </row>
    <row x14ac:dyDescent="0.25" r="1549" customHeight="1" ht="18.75" hidden="1">
      <c r="A1549" s="12" t="s">
        <v>4642</v>
      </c>
      <c r="B1549" s="9">
        <v>45471</v>
      </c>
      <c r="C1549" s="12" t="s">
        <v>2</v>
      </c>
      <c r="D1549" s="12" t="s">
        <v>4643</v>
      </c>
      <c r="E1549" s="12" t="s">
        <v>2</v>
      </c>
      <c r="F1549" s="12" t="s">
        <v>4644</v>
      </c>
    </row>
    <row x14ac:dyDescent="0.25" r="1550" customHeight="1" ht="18.75" hidden="1">
      <c r="A1550" s="12" t="s">
        <v>4645</v>
      </c>
      <c r="B1550" s="9">
        <v>45470</v>
      </c>
      <c r="C1550" s="12" t="s">
        <v>2</v>
      </c>
      <c r="D1550" s="12" t="s">
        <v>4646</v>
      </c>
      <c r="E1550" s="12" t="s">
        <v>2</v>
      </c>
      <c r="F1550" s="12" t="s">
        <v>4647</v>
      </c>
    </row>
    <row x14ac:dyDescent="0.25" r="1551" customHeight="1" ht="18.75" hidden="1">
      <c r="A1551" s="12" t="s">
        <v>4648</v>
      </c>
      <c r="B1551" s="9">
        <v>45470</v>
      </c>
      <c r="C1551" s="12" t="s">
        <v>2</v>
      </c>
      <c r="D1551" s="12" t="s">
        <v>4649</v>
      </c>
      <c r="E1551" s="12" t="s">
        <v>2</v>
      </c>
      <c r="F1551" s="12" t="s">
        <v>4650</v>
      </c>
    </row>
    <row x14ac:dyDescent="0.25" r="1552" customHeight="1" ht="18.75" hidden="1">
      <c r="A1552" s="12" t="s">
        <v>4651</v>
      </c>
      <c r="B1552" s="9">
        <v>45467</v>
      </c>
      <c r="C1552" s="12" t="s">
        <v>2</v>
      </c>
      <c r="D1552" s="12" t="s">
        <v>4652</v>
      </c>
      <c r="E1552" s="12" t="s">
        <v>2</v>
      </c>
      <c r="F1552" s="12" t="s">
        <v>4653</v>
      </c>
    </row>
    <row x14ac:dyDescent="0.25" r="1553" customHeight="1" ht="18.75" hidden="1">
      <c r="A1553" s="12" t="s">
        <v>4654</v>
      </c>
      <c r="B1553" s="9">
        <v>45464</v>
      </c>
      <c r="C1553" s="12" t="s">
        <v>3</v>
      </c>
      <c r="D1553" s="12" t="s">
        <v>4655</v>
      </c>
      <c r="E1553" s="12" t="s">
        <v>3</v>
      </c>
      <c r="F1553" s="12" t="s">
        <v>4656</v>
      </c>
    </row>
    <row x14ac:dyDescent="0.25" r="1554" customHeight="1" ht="18.75">
      <c r="A1554" s="12" t="s">
        <v>4657</v>
      </c>
      <c r="B1554" s="9">
        <v>45463</v>
      </c>
      <c r="C1554" s="12" t="s">
        <v>13</v>
      </c>
      <c r="D1554" s="12" t="s">
        <v>4658</v>
      </c>
      <c r="E1554" s="12" t="s">
        <v>13</v>
      </c>
      <c r="F1554" s="12" t="s">
        <v>4659</v>
      </c>
    </row>
    <row x14ac:dyDescent="0.25" r="1555" customHeight="1" ht="18.75" hidden="1">
      <c r="A1555" s="12" t="s">
        <v>4660</v>
      </c>
      <c r="B1555" s="9">
        <v>45463</v>
      </c>
      <c r="C1555" s="12" t="s">
        <v>2</v>
      </c>
      <c r="D1555" s="12" t="s">
        <v>4661</v>
      </c>
      <c r="E1555" s="12" t="s">
        <v>2</v>
      </c>
      <c r="F1555" s="12" t="s">
        <v>4662</v>
      </c>
    </row>
    <row x14ac:dyDescent="0.25" r="1556" customHeight="1" ht="18.75" hidden="1">
      <c r="A1556" s="12" t="s">
        <v>4663</v>
      </c>
      <c r="B1556" s="9">
        <v>45462</v>
      </c>
      <c r="C1556" s="12" t="s">
        <v>3</v>
      </c>
      <c r="D1556" s="12" t="s">
        <v>4664</v>
      </c>
      <c r="E1556" s="12" t="s">
        <v>3</v>
      </c>
      <c r="F1556" s="12" t="s">
        <v>4665</v>
      </c>
    </row>
    <row x14ac:dyDescent="0.25" r="1557" customHeight="1" ht="18.75" hidden="1">
      <c r="A1557" s="12" t="s">
        <v>4666</v>
      </c>
      <c r="B1557" s="9">
        <v>45461</v>
      </c>
      <c r="C1557" s="12" t="s">
        <v>2</v>
      </c>
      <c r="D1557" s="12" t="s">
        <v>4667</v>
      </c>
      <c r="E1557" s="12" t="s">
        <v>2</v>
      </c>
      <c r="F1557" s="12" t="s">
        <v>4668</v>
      </c>
    </row>
    <row x14ac:dyDescent="0.25" r="1558" customHeight="1" ht="18.75" hidden="1">
      <c r="A1558" s="12" t="s">
        <v>4669</v>
      </c>
      <c r="B1558" s="9">
        <v>45461</v>
      </c>
      <c r="C1558" s="12" t="s">
        <v>2</v>
      </c>
      <c r="D1558" s="12" t="s">
        <v>4670</v>
      </c>
      <c r="E1558" s="12" t="s">
        <v>2</v>
      </c>
      <c r="F1558" s="12" t="s">
        <v>4671</v>
      </c>
    </row>
    <row x14ac:dyDescent="0.25" r="1559" customHeight="1" ht="18.75" hidden="1">
      <c r="A1559" s="12" t="s">
        <v>4672</v>
      </c>
      <c r="B1559" s="9">
        <v>45460</v>
      </c>
      <c r="C1559" s="12" t="s">
        <v>2</v>
      </c>
      <c r="D1559" s="12" t="s">
        <v>4673</v>
      </c>
      <c r="E1559" s="12" t="s">
        <v>2</v>
      </c>
      <c r="F1559" s="12" t="s">
        <v>4674</v>
      </c>
    </row>
    <row x14ac:dyDescent="0.25" r="1560" customHeight="1" ht="18.75" hidden="1">
      <c r="A1560" s="12" t="s">
        <v>4675</v>
      </c>
      <c r="B1560" s="9">
        <v>45460</v>
      </c>
      <c r="C1560" s="12" t="s">
        <v>2</v>
      </c>
      <c r="D1560" s="12" t="s">
        <v>4676</v>
      </c>
      <c r="E1560" s="12" t="s">
        <v>2</v>
      </c>
      <c r="F1560" s="12" t="s">
        <v>4677</v>
      </c>
    </row>
    <row x14ac:dyDescent="0.25" r="1561" customHeight="1" ht="18.75" hidden="1">
      <c r="A1561" s="12" t="s">
        <v>4678</v>
      </c>
      <c r="B1561" s="9">
        <v>45459</v>
      </c>
      <c r="C1561" s="12" t="s">
        <v>3</v>
      </c>
      <c r="D1561" s="12" t="s">
        <v>4679</v>
      </c>
      <c r="E1561" s="12" t="s">
        <v>2</v>
      </c>
      <c r="F1561" s="12" t="s">
        <v>4680</v>
      </c>
    </row>
    <row x14ac:dyDescent="0.25" r="1562" customHeight="1" ht="18.75" hidden="1">
      <c r="A1562" s="12" t="s">
        <v>4681</v>
      </c>
      <c r="B1562" s="9">
        <v>45457</v>
      </c>
      <c r="C1562" s="12" t="s">
        <v>2</v>
      </c>
      <c r="D1562" s="12" t="s">
        <v>4682</v>
      </c>
      <c r="E1562" s="12" t="s">
        <v>2</v>
      </c>
      <c r="F1562" s="12" t="s">
        <v>4683</v>
      </c>
    </row>
    <row x14ac:dyDescent="0.25" r="1563" customHeight="1" ht="18.75" hidden="1">
      <c r="A1563" s="12" t="s">
        <v>4684</v>
      </c>
      <c r="B1563" s="9">
        <v>45456</v>
      </c>
      <c r="C1563" s="12" t="s">
        <v>2</v>
      </c>
      <c r="D1563" s="12" t="s">
        <v>4685</v>
      </c>
      <c r="E1563" s="12" t="s">
        <v>2</v>
      </c>
      <c r="F1563" s="12" t="s">
        <v>4686</v>
      </c>
    </row>
    <row x14ac:dyDescent="0.25" r="1564" customHeight="1" ht="18.75" hidden="1">
      <c r="A1564" s="12" t="s">
        <v>4687</v>
      </c>
      <c r="B1564" s="9">
        <v>45455</v>
      </c>
      <c r="C1564" s="12" t="s">
        <v>3</v>
      </c>
      <c r="D1564" s="12" t="s">
        <v>4688</v>
      </c>
      <c r="E1564" s="12" t="s">
        <v>3</v>
      </c>
      <c r="F1564" s="12" t="s">
        <v>4689</v>
      </c>
    </row>
    <row x14ac:dyDescent="0.25" r="1565" customHeight="1" ht="18.75" hidden="1">
      <c r="A1565" s="12" t="s">
        <v>4690</v>
      </c>
      <c r="B1565" s="9">
        <v>45455</v>
      </c>
      <c r="C1565" s="12" t="s">
        <v>3</v>
      </c>
      <c r="D1565" s="12" t="s">
        <v>4691</v>
      </c>
      <c r="E1565" s="12" t="s">
        <v>3</v>
      </c>
      <c r="F1565" s="12" t="s">
        <v>4692</v>
      </c>
    </row>
    <row x14ac:dyDescent="0.25" r="1566" customHeight="1" ht="18.75" hidden="1">
      <c r="A1566" s="12" t="s">
        <v>4693</v>
      </c>
      <c r="B1566" s="9">
        <v>45455</v>
      </c>
      <c r="C1566" s="12" t="s">
        <v>3</v>
      </c>
      <c r="D1566" s="12" t="s">
        <v>4694</v>
      </c>
      <c r="E1566" s="12" t="s">
        <v>3</v>
      </c>
      <c r="F1566" s="12" t="s">
        <v>4695</v>
      </c>
    </row>
    <row x14ac:dyDescent="0.25" r="1567" customHeight="1" ht="18.75" hidden="1">
      <c r="A1567" s="12" t="s">
        <v>4696</v>
      </c>
      <c r="B1567" s="9">
        <v>45455</v>
      </c>
      <c r="C1567" s="12" t="s">
        <v>3</v>
      </c>
      <c r="D1567" s="12" t="s">
        <v>4697</v>
      </c>
      <c r="E1567" s="12" t="s">
        <v>3</v>
      </c>
      <c r="F1567" s="12" t="s">
        <v>4698</v>
      </c>
    </row>
    <row x14ac:dyDescent="0.25" r="1568" customHeight="1" ht="18.75" hidden="1">
      <c r="A1568" s="12" t="s">
        <v>4699</v>
      </c>
      <c r="B1568" s="9">
        <v>45455</v>
      </c>
      <c r="C1568" s="12" t="s">
        <v>2</v>
      </c>
      <c r="D1568" s="12" t="s">
        <v>4700</v>
      </c>
      <c r="E1568" s="12" t="s">
        <v>2</v>
      </c>
      <c r="F1568" s="12" t="s">
        <v>4701</v>
      </c>
    </row>
    <row x14ac:dyDescent="0.25" r="1569" customHeight="1" ht="18.75" hidden="1">
      <c r="A1569" s="12" t="s">
        <v>4702</v>
      </c>
      <c r="B1569" s="9">
        <v>45455</v>
      </c>
      <c r="C1569" s="12" t="s">
        <v>2</v>
      </c>
      <c r="D1569" s="12" t="s">
        <v>4703</v>
      </c>
      <c r="E1569" s="12" t="s">
        <v>2</v>
      </c>
      <c r="F1569" s="12" t="s">
        <v>4704</v>
      </c>
    </row>
    <row x14ac:dyDescent="0.25" r="1570" customHeight="1" ht="18.75" hidden="1">
      <c r="A1570" s="12" t="s">
        <v>4705</v>
      </c>
      <c r="B1570" s="9">
        <v>45454</v>
      </c>
      <c r="C1570" s="12" t="s">
        <v>2</v>
      </c>
      <c r="D1570" s="12" t="s">
        <v>4706</v>
      </c>
      <c r="E1570" s="12" t="s">
        <v>2</v>
      </c>
      <c r="F1570" s="12" t="s">
        <v>4707</v>
      </c>
    </row>
    <row x14ac:dyDescent="0.25" r="1571" customHeight="1" ht="18.75">
      <c r="A1571" s="12" t="s">
        <v>4708</v>
      </c>
      <c r="B1571" s="9">
        <v>45453</v>
      </c>
      <c r="C1571" s="12" t="s">
        <v>13</v>
      </c>
      <c r="D1571" s="12" t="s">
        <v>4709</v>
      </c>
      <c r="E1571" s="12" t="s">
        <v>13</v>
      </c>
      <c r="F1571" s="12" t="s">
        <v>4710</v>
      </c>
    </row>
    <row x14ac:dyDescent="0.25" r="1572" customHeight="1" ht="18.75">
      <c r="A1572" s="12" t="s">
        <v>4711</v>
      </c>
      <c r="B1572" s="9">
        <v>45453</v>
      </c>
      <c r="C1572" s="12" t="s">
        <v>101</v>
      </c>
      <c r="D1572" s="12" t="s">
        <v>4712</v>
      </c>
      <c r="E1572" s="12" t="s">
        <v>13</v>
      </c>
      <c r="F1572" s="12" t="s">
        <v>4713</v>
      </c>
    </row>
    <row x14ac:dyDescent="0.25" r="1573" customHeight="1" ht="18.75" hidden="1">
      <c r="A1573" s="12" t="s">
        <v>4714</v>
      </c>
      <c r="B1573" s="9">
        <v>45453</v>
      </c>
      <c r="C1573" s="12" t="s">
        <v>2</v>
      </c>
      <c r="D1573" s="12" t="s">
        <v>4715</v>
      </c>
      <c r="E1573" s="12" t="s">
        <v>2</v>
      </c>
      <c r="F1573" s="12" t="s">
        <v>4716</v>
      </c>
    </row>
    <row x14ac:dyDescent="0.25" r="1574" customHeight="1" ht="18.75" hidden="1">
      <c r="A1574" s="12" t="s">
        <v>4717</v>
      </c>
      <c r="B1574" s="9">
        <v>45449</v>
      </c>
      <c r="C1574" s="12" t="s">
        <v>2</v>
      </c>
      <c r="D1574" s="12" t="s">
        <v>4718</v>
      </c>
      <c r="E1574" s="12" t="s">
        <v>2</v>
      </c>
      <c r="F1574" s="12" t="s">
        <v>4719</v>
      </c>
    </row>
    <row x14ac:dyDescent="0.25" r="1575" customHeight="1" ht="18.75" hidden="1">
      <c r="A1575" s="12" t="s">
        <v>4720</v>
      </c>
      <c r="B1575" s="9">
        <v>45449</v>
      </c>
      <c r="C1575" s="12" t="s">
        <v>2</v>
      </c>
      <c r="D1575" s="12" t="s">
        <v>4721</v>
      </c>
      <c r="E1575" s="12" t="s">
        <v>2</v>
      </c>
      <c r="F1575" s="12" t="s">
        <v>4722</v>
      </c>
    </row>
    <row x14ac:dyDescent="0.25" r="1576" customHeight="1" ht="18.75">
      <c r="A1576" s="12" t="s">
        <v>4723</v>
      </c>
      <c r="B1576" s="9">
        <v>45449</v>
      </c>
      <c r="C1576" s="12" t="s">
        <v>13</v>
      </c>
      <c r="D1576" s="12" t="s">
        <v>4724</v>
      </c>
      <c r="E1576" s="12" t="s">
        <v>13</v>
      </c>
      <c r="F1576" s="12" t="s">
        <v>4725</v>
      </c>
    </row>
    <row x14ac:dyDescent="0.25" r="1577" customHeight="1" ht="18.75" hidden="1">
      <c r="A1577" s="12" t="s">
        <v>4726</v>
      </c>
      <c r="B1577" s="9">
        <v>45447</v>
      </c>
      <c r="C1577" s="12" t="s">
        <v>3</v>
      </c>
      <c r="D1577" s="12" t="s">
        <v>4727</v>
      </c>
      <c r="E1577" s="12" t="s">
        <v>3</v>
      </c>
      <c r="F1577" s="12" t="s">
        <v>4728</v>
      </c>
    </row>
    <row x14ac:dyDescent="0.25" r="1578" customHeight="1" ht="18.75" hidden="1">
      <c r="A1578" s="12" t="s">
        <v>4729</v>
      </c>
      <c r="B1578" s="9">
        <v>45447</v>
      </c>
      <c r="C1578" s="12" t="s">
        <v>2</v>
      </c>
      <c r="D1578" s="12" t="s">
        <v>4730</v>
      </c>
      <c r="E1578" s="12" t="s">
        <v>2</v>
      </c>
      <c r="F1578" s="12" t="s">
        <v>4731</v>
      </c>
    </row>
    <row x14ac:dyDescent="0.25" r="1579" customHeight="1" ht="18.75" hidden="1">
      <c r="A1579" s="12" t="s">
        <v>4732</v>
      </c>
      <c r="B1579" s="9">
        <v>45446</v>
      </c>
      <c r="C1579" s="12" t="s">
        <v>2</v>
      </c>
      <c r="D1579" s="12" t="s">
        <v>4733</v>
      </c>
      <c r="E1579" s="12" t="s">
        <v>2</v>
      </c>
      <c r="F1579" s="12" t="s">
        <v>4734</v>
      </c>
    </row>
    <row x14ac:dyDescent="0.25" r="1580" customHeight="1" ht="18.75" hidden="1">
      <c r="A1580" s="12" t="s">
        <v>4735</v>
      </c>
      <c r="B1580" s="9">
        <v>45446</v>
      </c>
      <c r="C1580" s="12" t="s">
        <v>2</v>
      </c>
      <c r="D1580" s="12" t="s">
        <v>4736</v>
      </c>
      <c r="E1580" s="12" t="s">
        <v>2</v>
      </c>
      <c r="F1580" s="12" t="s">
        <v>4737</v>
      </c>
    </row>
    <row x14ac:dyDescent="0.25" r="1581" customHeight="1" ht="18.75" hidden="1">
      <c r="A1581" s="12" t="s">
        <v>4738</v>
      </c>
      <c r="B1581" s="9">
        <v>45446</v>
      </c>
      <c r="C1581" s="12" t="s">
        <v>3</v>
      </c>
      <c r="D1581" s="12" t="s">
        <v>4739</v>
      </c>
      <c r="E1581" s="12" t="s">
        <v>3</v>
      </c>
      <c r="F1581" s="12" t="s">
        <v>4740</v>
      </c>
    </row>
    <row x14ac:dyDescent="0.25" r="1582" customHeight="1" ht="18.75">
      <c r="A1582" s="12" t="s">
        <v>4741</v>
      </c>
      <c r="B1582" s="9">
        <v>45446</v>
      </c>
      <c r="C1582" s="12" t="s">
        <v>13</v>
      </c>
      <c r="D1582" s="12" t="s">
        <v>4742</v>
      </c>
      <c r="E1582" s="12" t="s">
        <v>13</v>
      </c>
      <c r="F1582" s="12" t="s">
        <v>4743</v>
      </c>
    </row>
    <row x14ac:dyDescent="0.25" r="1583" customHeight="1" ht="18.75">
      <c r="A1583" s="12" t="s">
        <v>4744</v>
      </c>
      <c r="B1583" s="9">
        <v>45443</v>
      </c>
      <c r="C1583" s="12" t="s">
        <v>101</v>
      </c>
      <c r="D1583" s="12" t="s">
        <v>4745</v>
      </c>
      <c r="E1583" s="12" t="s">
        <v>4</v>
      </c>
      <c r="F1583" s="12" t="s">
        <v>4746</v>
      </c>
    </row>
    <row x14ac:dyDescent="0.25" r="1584" customHeight="1" ht="18.75">
      <c r="A1584" s="12" t="s">
        <v>4747</v>
      </c>
      <c r="B1584" s="9">
        <v>45442</v>
      </c>
      <c r="C1584" s="12" t="s">
        <v>101</v>
      </c>
      <c r="D1584" s="12" t="s">
        <v>4748</v>
      </c>
      <c r="E1584" s="12" t="s">
        <v>13</v>
      </c>
      <c r="F1584" s="12" t="s">
        <v>4749</v>
      </c>
    </row>
    <row x14ac:dyDescent="0.25" r="1585" customHeight="1" ht="18.75" hidden="1">
      <c r="A1585" s="12" t="s">
        <v>4750</v>
      </c>
      <c r="B1585" s="9">
        <v>45440</v>
      </c>
      <c r="C1585" s="12" t="s">
        <v>3</v>
      </c>
      <c r="D1585" s="12" t="s">
        <v>4751</v>
      </c>
      <c r="E1585" s="12" t="s">
        <v>3</v>
      </c>
      <c r="F1585" s="12" t="s">
        <v>4752</v>
      </c>
    </row>
    <row x14ac:dyDescent="0.25" r="1586" customHeight="1" ht="18.75" hidden="1">
      <c r="A1586" s="12" t="s">
        <v>4753</v>
      </c>
      <c r="B1586" s="9">
        <v>45440</v>
      </c>
      <c r="C1586" s="12" t="s">
        <v>3</v>
      </c>
      <c r="D1586" s="12" t="s">
        <v>4754</v>
      </c>
      <c r="E1586" s="12" t="s">
        <v>3</v>
      </c>
      <c r="F1586" s="12" t="s">
        <v>4755</v>
      </c>
    </row>
    <row x14ac:dyDescent="0.25" r="1587" customHeight="1" ht="18.75" hidden="1">
      <c r="A1587" s="12" t="s">
        <v>4756</v>
      </c>
      <c r="B1587" s="9">
        <v>45440</v>
      </c>
      <c r="C1587" s="12" t="s">
        <v>3</v>
      </c>
      <c r="D1587" s="12" t="s">
        <v>4757</v>
      </c>
      <c r="E1587" s="12" t="s">
        <v>3</v>
      </c>
      <c r="F1587" s="12" t="s">
        <v>4758</v>
      </c>
    </row>
    <row x14ac:dyDescent="0.25" r="1588" customHeight="1" ht="18.75">
      <c r="A1588" s="12" t="s">
        <v>4759</v>
      </c>
      <c r="B1588" s="9">
        <v>45436</v>
      </c>
      <c r="C1588" s="12" t="s">
        <v>13</v>
      </c>
      <c r="D1588" s="12" t="s">
        <v>4760</v>
      </c>
      <c r="E1588" s="12" t="s">
        <v>13</v>
      </c>
      <c r="F1588" s="12" t="s">
        <v>4761</v>
      </c>
    </row>
    <row x14ac:dyDescent="0.25" r="1589" customHeight="1" ht="18.75" hidden="1">
      <c r="A1589" s="12" t="s">
        <v>4762</v>
      </c>
      <c r="B1589" s="9">
        <v>45436</v>
      </c>
      <c r="C1589" s="12" t="s">
        <v>3</v>
      </c>
      <c r="D1589" s="12" t="s">
        <v>4763</v>
      </c>
      <c r="E1589" s="12" t="s">
        <v>3</v>
      </c>
      <c r="F1589" s="12" t="s">
        <v>4764</v>
      </c>
    </row>
    <row x14ac:dyDescent="0.25" r="1590" customHeight="1" ht="18.75" hidden="1">
      <c r="A1590" s="12" t="s">
        <v>4765</v>
      </c>
      <c r="B1590" s="9">
        <v>45436</v>
      </c>
      <c r="C1590" s="12" t="s">
        <v>3</v>
      </c>
      <c r="D1590" s="12" t="s">
        <v>4766</v>
      </c>
      <c r="E1590" s="12" t="s">
        <v>3</v>
      </c>
      <c r="F1590" s="12" t="s">
        <v>4767</v>
      </c>
    </row>
    <row x14ac:dyDescent="0.25" r="1591" customHeight="1" ht="18.75" hidden="1">
      <c r="A1591" s="12" t="s">
        <v>4768</v>
      </c>
      <c r="B1591" s="9">
        <v>45434</v>
      </c>
      <c r="C1591" s="12" t="s">
        <v>3</v>
      </c>
      <c r="D1591" s="12" t="s">
        <v>4769</v>
      </c>
      <c r="E1591" s="12" t="s">
        <v>3</v>
      </c>
      <c r="F1591" s="12" t="s">
        <v>4770</v>
      </c>
    </row>
    <row x14ac:dyDescent="0.25" r="1592" customHeight="1" ht="18.75" hidden="1">
      <c r="A1592" s="12" t="s">
        <v>4771</v>
      </c>
      <c r="B1592" s="9">
        <v>45434</v>
      </c>
      <c r="C1592" s="12" t="s">
        <v>3</v>
      </c>
      <c r="D1592" s="12" t="s">
        <v>4772</v>
      </c>
      <c r="E1592" s="12" t="s">
        <v>3</v>
      </c>
      <c r="F1592" s="12" t="s">
        <v>4773</v>
      </c>
    </row>
    <row x14ac:dyDescent="0.25" r="1593" customHeight="1" ht="18.75" hidden="1">
      <c r="A1593" s="12" t="s">
        <v>4774</v>
      </c>
      <c r="B1593" s="9">
        <v>45433</v>
      </c>
      <c r="C1593" s="12" t="s">
        <v>3</v>
      </c>
      <c r="D1593" s="12" t="s">
        <v>4775</v>
      </c>
      <c r="E1593" s="12" t="s">
        <v>3</v>
      </c>
      <c r="F1593" s="12" t="s">
        <v>4776</v>
      </c>
    </row>
    <row x14ac:dyDescent="0.25" r="1594" customHeight="1" ht="18.75" hidden="1">
      <c r="A1594" s="12" t="s">
        <v>4777</v>
      </c>
      <c r="B1594" s="9">
        <v>45433</v>
      </c>
      <c r="C1594" s="12" t="s">
        <v>3</v>
      </c>
      <c r="D1594" s="12" t="s">
        <v>4778</v>
      </c>
      <c r="E1594" s="12" t="s">
        <v>3</v>
      </c>
      <c r="F1594" s="12" t="s">
        <v>4779</v>
      </c>
    </row>
    <row x14ac:dyDescent="0.25" r="1595" customHeight="1" ht="18.75">
      <c r="A1595" s="12" t="s">
        <v>4780</v>
      </c>
      <c r="B1595" s="9">
        <v>45428</v>
      </c>
      <c r="C1595" s="12" t="s">
        <v>101</v>
      </c>
      <c r="D1595" s="12" t="s">
        <v>4781</v>
      </c>
      <c r="E1595" s="12" t="s">
        <v>13</v>
      </c>
      <c r="F1595" s="12" t="s">
        <v>4782</v>
      </c>
    </row>
    <row x14ac:dyDescent="0.25" r="1596" customHeight="1" ht="18.75" hidden="1">
      <c r="A1596" s="12" t="s">
        <v>4783</v>
      </c>
      <c r="B1596" s="9">
        <v>45427</v>
      </c>
      <c r="C1596" s="12" t="s">
        <v>2</v>
      </c>
      <c r="D1596" s="12" t="s">
        <v>4784</v>
      </c>
      <c r="E1596" s="12" t="s">
        <v>2</v>
      </c>
      <c r="F1596" s="12" t="s">
        <v>4785</v>
      </c>
    </row>
    <row x14ac:dyDescent="0.25" r="1597" customHeight="1" ht="18.75" hidden="1">
      <c r="A1597" s="12" t="s">
        <v>4786</v>
      </c>
      <c r="B1597" s="9">
        <v>45426</v>
      </c>
      <c r="C1597" s="12" t="s">
        <v>2</v>
      </c>
      <c r="D1597" s="12" t="s">
        <v>4787</v>
      </c>
      <c r="E1597" s="12" t="s">
        <v>2</v>
      </c>
      <c r="F1597" s="12" t="s">
        <v>4788</v>
      </c>
    </row>
    <row x14ac:dyDescent="0.25" r="1598" customHeight="1" ht="18.75" hidden="1">
      <c r="A1598" s="12" t="s">
        <v>4789</v>
      </c>
      <c r="B1598" s="9">
        <v>45425</v>
      </c>
      <c r="C1598" s="12" t="s">
        <v>2</v>
      </c>
      <c r="D1598" s="12" t="s">
        <v>4790</v>
      </c>
      <c r="E1598" s="12" t="s">
        <v>2</v>
      </c>
      <c r="F1598" s="12" t="s">
        <v>4791</v>
      </c>
    </row>
    <row x14ac:dyDescent="0.25" r="1599" customHeight="1" ht="18.75">
      <c r="A1599" s="12" t="s">
        <v>4792</v>
      </c>
      <c r="B1599" s="9">
        <v>45424</v>
      </c>
      <c r="C1599" s="12" t="s">
        <v>13</v>
      </c>
      <c r="D1599" s="12" t="s">
        <v>4793</v>
      </c>
      <c r="E1599" s="12" t="s">
        <v>13</v>
      </c>
      <c r="F1599" s="12" t="s">
        <v>4794</v>
      </c>
    </row>
    <row x14ac:dyDescent="0.25" r="1600" customHeight="1" ht="18.75" hidden="1">
      <c r="A1600" s="12" t="s">
        <v>4795</v>
      </c>
      <c r="B1600" s="9">
        <v>45422</v>
      </c>
      <c r="C1600" s="12" t="s">
        <v>3</v>
      </c>
      <c r="D1600" s="12" t="s">
        <v>4796</v>
      </c>
      <c r="E1600" s="12" t="s">
        <v>3</v>
      </c>
      <c r="F1600" s="12" t="s">
        <v>4797</v>
      </c>
    </row>
    <row x14ac:dyDescent="0.25" r="1601" customHeight="1" ht="18.75" hidden="1">
      <c r="A1601" s="12" t="s">
        <v>4798</v>
      </c>
      <c r="B1601" s="9">
        <v>45419</v>
      </c>
      <c r="C1601" s="12" t="s">
        <v>3</v>
      </c>
      <c r="D1601" s="12" t="s">
        <v>4799</v>
      </c>
      <c r="E1601" s="12" t="s">
        <v>2</v>
      </c>
      <c r="F1601" s="12" t="s">
        <v>4800</v>
      </c>
    </row>
    <row x14ac:dyDescent="0.25" r="1602" customHeight="1" ht="18.75" hidden="1">
      <c r="A1602" s="12" t="s">
        <v>4801</v>
      </c>
      <c r="B1602" s="9">
        <v>45415</v>
      </c>
      <c r="C1602" s="12" t="s">
        <v>3</v>
      </c>
      <c r="D1602" s="12" t="s">
        <v>4802</v>
      </c>
      <c r="E1602" s="12" t="s">
        <v>3</v>
      </c>
      <c r="F1602" s="12" t="s">
        <v>4803</v>
      </c>
    </row>
    <row x14ac:dyDescent="0.25" r="1603" customHeight="1" ht="18.75" hidden="1">
      <c r="A1603" s="12" t="s">
        <v>4804</v>
      </c>
      <c r="B1603" s="9">
        <v>45414</v>
      </c>
      <c r="C1603" s="12" t="s">
        <v>3</v>
      </c>
      <c r="D1603" s="12" t="s">
        <v>4805</v>
      </c>
      <c r="E1603" s="12" t="s">
        <v>3</v>
      </c>
      <c r="F1603" s="12" t="s">
        <v>4806</v>
      </c>
    </row>
    <row x14ac:dyDescent="0.25" r="1604" customHeight="1" ht="18.75" hidden="1">
      <c r="A1604" s="12" t="s">
        <v>4807</v>
      </c>
      <c r="B1604" s="9">
        <v>45414</v>
      </c>
      <c r="C1604" s="12" t="s">
        <v>2</v>
      </c>
      <c r="D1604" s="12" t="s">
        <v>4808</v>
      </c>
      <c r="E1604" s="12" t="s">
        <v>2</v>
      </c>
      <c r="F1604" s="12" t="s">
        <v>4809</v>
      </c>
    </row>
    <row x14ac:dyDescent="0.25" r="1605" customHeight="1" ht="18.75" hidden="1">
      <c r="A1605" s="12" t="s">
        <v>4810</v>
      </c>
      <c r="B1605" s="9">
        <v>45414</v>
      </c>
      <c r="C1605" s="12" t="s">
        <v>2</v>
      </c>
      <c r="D1605" s="12" t="s">
        <v>4811</v>
      </c>
      <c r="E1605" s="12" t="s">
        <v>2</v>
      </c>
      <c r="F1605" s="12" t="s">
        <v>4812</v>
      </c>
    </row>
    <row x14ac:dyDescent="0.25" r="1606" customHeight="1" ht="18.75">
      <c r="A1606" s="12" t="s">
        <v>4813</v>
      </c>
      <c r="B1606" s="9">
        <v>45414</v>
      </c>
      <c r="C1606" s="12" t="s">
        <v>13</v>
      </c>
      <c r="D1606" s="12" t="s">
        <v>4814</v>
      </c>
      <c r="E1606" s="12" t="s">
        <v>13</v>
      </c>
      <c r="F1606" s="12" t="s">
        <v>4815</v>
      </c>
    </row>
    <row x14ac:dyDescent="0.25" r="1607" customHeight="1" ht="18.75" hidden="1">
      <c r="A1607" s="12" t="s">
        <v>4816</v>
      </c>
      <c r="B1607" s="9">
        <v>45413</v>
      </c>
      <c r="C1607" s="12" t="s">
        <v>2</v>
      </c>
      <c r="D1607" s="12" t="s">
        <v>4817</v>
      </c>
      <c r="E1607" s="12" t="s">
        <v>2</v>
      </c>
      <c r="F1607" s="12" t="s">
        <v>4818</v>
      </c>
    </row>
    <row x14ac:dyDescent="0.25" r="1608" customHeight="1" ht="18.75">
      <c r="A1608" s="12" t="s">
        <v>4819</v>
      </c>
      <c r="B1608" s="9">
        <v>45413</v>
      </c>
      <c r="C1608" s="12" t="s">
        <v>13</v>
      </c>
      <c r="D1608" s="12" t="s">
        <v>4820</v>
      </c>
      <c r="E1608" s="12" t="s">
        <v>13</v>
      </c>
      <c r="F1608" s="12" t="s">
        <v>4821</v>
      </c>
    </row>
    <row x14ac:dyDescent="0.25" r="1609" customHeight="1" ht="18.75">
      <c r="A1609" s="12" t="s">
        <v>4822</v>
      </c>
      <c r="B1609" s="9">
        <v>45413</v>
      </c>
      <c r="C1609" s="12" t="s">
        <v>101</v>
      </c>
      <c r="D1609" s="12" t="s">
        <v>4823</v>
      </c>
      <c r="E1609" s="12" t="s">
        <v>13</v>
      </c>
      <c r="F1609" s="12" t="s">
        <v>4824</v>
      </c>
    </row>
    <row x14ac:dyDescent="0.25" r="1610" customHeight="1" ht="18.75" hidden="1">
      <c r="A1610" s="12" t="s">
        <v>4825</v>
      </c>
      <c r="B1610" s="9">
        <v>45413</v>
      </c>
      <c r="C1610" s="12" t="s">
        <v>3</v>
      </c>
      <c r="D1610" s="12" t="s">
        <v>4826</v>
      </c>
      <c r="E1610" s="12" t="s">
        <v>3</v>
      </c>
      <c r="F1610" s="12" t="s">
        <v>4827</v>
      </c>
    </row>
    <row x14ac:dyDescent="0.25" r="1611" customHeight="1" ht="18.75" hidden="1">
      <c r="A1611" s="12" t="s">
        <v>4828</v>
      </c>
      <c r="B1611" s="9">
        <v>45412</v>
      </c>
      <c r="C1611" s="12" t="s">
        <v>2</v>
      </c>
      <c r="D1611" s="12" t="s">
        <v>4829</v>
      </c>
      <c r="E1611" s="12" t="s">
        <v>2</v>
      </c>
      <c r="F1611" s="12" t="s">
        <v>4830</v>
      </c>
    </row>
    <row x14ac:dyDescent="0.25" r="1612" customHeight="1" ht="18.75" hidden="1">
      <c r="A1612" s="12" t="s">
        <v>4831</v>
      </c>
      <c r="B1612" s="9">
        <v>45411</v>
      </c>
      <c r="C1612" s="12" t="s">
        <v>3</v>
      </c>
      <c r="D1612" s="12" t="s">
        <v>4832</v>
      </c>
      <c r="E1612" s="12" t="s">
        <v>3</v>
      </c>
      <c r="F1612" s="12" t="s">
        <v>4833</v>
      </c>
    </row>
    <row x14ac:dyDescent="0.25" r="1613" customHeight="1" ht="18.75" hidden="1">
      <c r="A1613" s="12" t="s">
        <v>4834</v>
      </c>
      <c r="B1613" s="9">
        <v>45411</v>
      </c>
      <c r="C1613" s="12" t="s">
        <v>3</v>
      </c>
      <c r="D1613" s="12" t="s">
        <v>4835</v>
      </c>
      <c r="E1613" s="12" t="s">
        <v>3</v>
      </c>
      <c r="F1613" s="12" t="s">
        <v>4836</v>
      </c>
    </row>
    <row x14ac:dyDescent="0.25" r="1614" customHeight="1" ht="18.75" hidden="1">
      <c r="A1614" s="12" t="s">
        <v>4837</v>
      </c>
      <c r="B1614" s="9">
        <v>45405</v>
      </c>
      <c r="C1614" s="12" t="s">
        <v>2</v>
      </c>
      <c r="D1614" s="12" t="s">
        <v>4838</v>
      </c>
      <c r="E1614" s="12" t="s">
        <v>2</v>
      </c>
      <c r="F1614" s="12" t="s">
        <v>4839</v>
      </c>
    </row>
    <row x14ac:dyDescent="0.25" r="1615" customHeight="1" ht="18.75" hidden="1">
      <c r="A1615" s="12" t="s">
        <v>4840</v>
      </c>
      <c r="B1615" s="9">
        <v>45404</v>
      </c>
      <c r="C1615" s="12" t="s">
        <v>3</v>
      </c>
      <c r="D1615" s="12" t="s">
        <v>4841</v>
      </c>
      <c r="E1615" s="12" t="s">
        <v>3</v>
      </c>
      <c r="F1615" s="12" t="s">
        <v>4842</v>
      </c>
    </row>
    <row x14ac:dyDescent="0.25" r="1616" customHeight="1" ht="18.75">
      <c r="A1616" s="12" t="s">
        <v>4843</v>
      </c>
      <c r="B1616" s="9">
        <v>45401</v>
      </c>
      <c r="C1616" s="12" t="s">
        <v>101</v>
      </c>
      <c r="D1616" s="12" t="s">
        <v>4844</v>
      </c>
      <c r="E1616" s="12" t="s">
        <v>13</v>
      </c>
      <c r="F1616" s="12" t="s">
        <v>4845</v>
      </c>
    </row>
    <row x14ac:dyDescent="0.25" r="1617" customHeight="1" ht="18.75" hidden="1">
      <c r="A1617" s="12" t="s">
        <v>4846</v>
      </c>
      <c r="B1617" s="9">
        <v>45401</v>
      </c>
      <c r="C1617" s="12" t="s">
        <v>3</v>
      </c>
      <c r="D1617" s="12" t="s">
        <v>4847</v>
      </c>
      <c r="E1617" s="12" t="s">
        <v>3</v>
      </c>
      <c r="F1617" s="12" t="s">
        <v>4848</v>
      </c>
    </row>
    <row x14ac:dyDescent="0.25" r="1618" customHeight="1" ht="18.75" hidden="1">
      <c r="A1618" s="12" t="s">
        <v>4849</v>
      </c>
      <c r="B1618" s="9">
        <v>45400</v>
      </c>
      <c r="C1618" s="12" t="s">
        <v>3</v>
      </c>
      <c r="D1618" s="12" t="s">
        <v>4850</v>
      </c>
      <c r="E1618" s="12" t="s">
        <v>2</v>
      </c>
      <c r="F1618" s="12" t="s">
        <v>4851</v>
      </c>
    </row>
    <row x14ac:dyDescent="0.25" r="1619" customHeight="1" ht="18.75" hidden="1">
      <c r="A1619" s="12" t="s">
        <v>4852</v>
      </c>
      <c r="B1619" s="9">
        <v>45400</v>
      </c>
      <c r="C1619" s="12" t="s">
        <v>2</v>
      </c>
      <c r="D1619" s="12" t="s">
        <v>4853</v>
      </c>
      <c r="E1619" s="12" t="s">
        <v>2</v>
      </c>
      <c r="F1619" s="12" t="s">
        <v>4854</v>
      </c>
    </row>
    <row x14ac:dyDescent="0.25" r="1620" customHeight="1" ht="18.75" hidden="1">
      <c r="A1620" s="12" t="s">
        <v>4855</v>
      </c>
      <c r="B1620" s="9">
        <v>45400</v>
      </c>
      <c r="C1620" s="12" t="s">
        <v>3</v>
      </c>
      <c r="D1620" s="12" t="s">
        <v>4856</v>
      </c>
      <c r="E1620" s="12" t="s">
        <v>3</v>
      </c>
      <c r="F1620" s="12" t="s">
        <v>4857</v>
      </c>
    </row>
    <row x14ac:dyDescent="0.25" r="1621" customHeight="1" ht="18.75" hidden="1">
      <c r="A1621" s="12" t="s">
        <v>4858</v>
      </c>
      <c r="B1621" s="9">
        <v>45400</v>
      </c>
      <c r="C1621" s="12" t="s">
        <v>3</v>
      </c>
      <c r="D1621" s="12" t="s">
        <v>4859</v>
      </c>
      <c r="E1621" s="12" t="s">
        <v>3</v>
      </c>
      <c r="F1621" s="12" t="s">
        <v>4860</v>
      </c>
    </row>
    <row x14ac:dyDescent="0.25" r="1622" customHeight="1" ht="18.75" hidden="1">
      <c r="A1622" s="12" t="s">
        <v>4861</v>
      </c>
      <c r="B1622" s="9">
        <v>45400</v>
      </c>
      <c r="C1622" s="12" t="s">
        <v>3</v>
      </c>
      <c r="D1622" s="12" t="s">
        <v>4862</v>
      </c>
      <c r="E1622" s="12" t="s">
        <v>3</v>
      </c>
      <c r="F1622" s="12" t="s">
        <v>4863</v>
      </c>
    </row>
    <row x14ac:dyDescent="0.25" r="1623" customHeight="1" ht="18.75" hidden="1">
      <c r="A1623" s="12" t="s">
        <v>4864</v>
      </c>
      <c r="B1623" s="9">
        <v>45399</v>
      </c>
      <c r="C1623" s="12" t="s">
        <v>2</v>
      </c>
      <c r="D1623" s="12" t="s">
        <v>4865</v>
      </c>
      <c r="E1623" s="12" t="s">
        <v>2</v>
      </c>
      <c r="F1623" s="12" t="s">
        <v>4866</v>
      </c>
    </row>
    <row x14ac:dyDescent="0.25" r="1624" customHeight="1" ht="18.75" hidden="1">
      <c r="A1624" s="12" t="s">
        <v>4867</v>
      </c>
      <c r="B1624" s="9">
        <v>45399</v>
      </c>
      <c r="C1624" s="12" t="s">
        <v>3</v>
      </c>
      <c r="D1624" s="12" t="s">
        <v>4868</v>
      </c>
      <c r="E1624" s="12" t="s">
        <v>3</v>
      </c>
      <c r="F1624" s="12" t="s">
        <v>4869</v>
      </c>
    </row>
    <row x14ac:dyDescent="0.25" r="1625" customHeight="1" ht="18.75" hidden="1">
      <c r="A1625" s="12" t="s">
        <v>4870</v>
      </c>
      <c r="B1625" s="9">
        <v>45397</v>
      </c>
      <c r="C1625" s="12" t="s">
        <v>3</v>
      </c>
      <c r="D1625" s="12" t="s">
        <v>4871</v>
      </c>
      <c r="E1625" s="12" t="s">
        <v>3</v>
      </c>
      <c r="F1625" s="12" t="s">
        <v>4872</v>
      </c>
    </row>
    <row x14ac:dyDescent="0.25" r="1626" customHeight="1" ht="18.75">
      <c r="A1626" s="12" t="s">
        <v>4873</v>
      </c>
      <c r="B1626" s="9">
        <v>45397</v>
      </c>
      <c r="C1626" s="12" t="s">
        <v>101</v>
      </c>
      <c r="D1626" s="12" t="s">
        <v>4874</v>
      </c>
      <c r="E1626" s="12" t="s">
        <v>13</v>
      </c>
      <c r="F1626" s="12" t="s">
        <v>4875</v>
      </c>
    </row>
    <row x14ac:dyDescent="0.25" r="1627" customHeight="1" ht="18.75" hidden="1">
      <c r="A1627" s="12" t="s">
        <v>4876</v>
      </c>
      <c r="B1627" s="9">
        <v>45396</v>
      </c>
      <c r="C1627" s="12" t="s">
        <v>2</v>
      </c>
      <c r="D1627" s="12" t="s">
        <v>4877</v>
      </c>
      <c r="E1627" s="12" t="s">
        <v>2</v>
      </c>
      <c r="F1627" s="12" t="s">
        <v>4878</v>
      </c>
    </row>
    <row x14ac:dyDescent="0.25" r="1628" customHeight="1" ht="18.75" hidden="1">
      <c r="A1628" s="12" t="s">
        <v>4879</v>
      </c>
      <c r="B1628" s="9">
        <v>45394</v>
      </c>
      <c r="C1628" s="12" t="s">
        <v>2</v>
      </c>
      <c r="D1628" s="12" t="s">
        <v>4880</v>
      </c>
      <c r="E1628" s="12" t="s">
        <v>2</v>
      </c>
      <c r="F1628" s="12" t="s">
        <v>4881</v>
      </c>
    </row>
    <row x14ac:dyDescent="0.25" r="1629" customHeight="1" ht="18.75" hidden="1">
      <c r="A1629" s="12" t="s">
        <v>4882</v>
      </c>
      <c r="B1629" s="9">
        <v>45394</v>
      </c>
      <c r="C1629" s="12" t="s">
        <v>2</v>
      </c>
      <c r="D1629" s="12" t="s">
        <v>4883</v>
      </c>
      <c r="E1629" s="12" t="s">
        <v>2</v>
      </c>
      <c r="F1629" s="12" t="s">
        <v>4884</v>
      </c>
    </row>
    <row x14ac:dyDescent="0.25" r="1630" customHeight="1" ht="18.75">
      <c r="A1630" s="12" t="s">
        <v>4885</v>
      </c>
      <c r="B1630" s="9">
        <v>45394</v>
      </c>
      <c r="C1630" s="12" t="s">
        <v>2</v>
      </c>
      <c r="D1630" s="12" t="s">
        <v>4886</v>
      </c>
      <c r="E1630" s="12" t="s">
        <v>13</v>
      </c>
      <c r="F1630" s="12" t="s">
        <v>4887</v>
      </c>
    </row>
    <row x14ac:dyDescent="0.25" r="1631" customHeight="1" ht="18.75" hidden="1">
      <c r="A1631" s="12" t="s">
        <v>4888</v>
      </c>
      <c r="B1631" s="9">
        <v>45394</v>
      </c>
      <c r="C1631" s="12" t="s">
        <v>2</v>
      </c>
      <c r="D1631" s="12" t="s">
        <v>4889</v>
      </c>
      <c r="E1631" s="12" t="s">
        <v>2</v>
      </c>
      <c r="F1631" s="12" t="s">
        <v>4890</v>
      </c>
    </row>
    <row x14ac:dyDescent="0.25" r="1632" customHeight="1" ht="18.75" hidden="1">
      <c r="A1632" s="12" t="s">
        <v>4891</v>
      </c>
      <c r="B1632" s="9">
        <v>45393</v>
      </c>
      <c r="C1632" s="12" t="s">
        <v>3</v>
      </c>
      <c r="D1632" s="12" t="s">
        <v>4892</v>
      </c>
      <c r="E1632" s="12" t="s">
        <v>3</v>
      </c>
      <c r="F1632" s="12" t="s">
        <v>4893</v>
      </c>
    </row>
    <row x14ac:dyDescent="0.25" r="1633" customHeight="1" ht="18.75">
      <c r="A1633" s="12" t="s">
        <v>4894</v>
      </c>
      <c r="B1633" s="9">
        <v>45393</v>
      </c>
      <c r="C1633" s="12" t="s">
        <v>13</v>
      </c>
      <c r="D1633" s="12" t="s">
        <v>4895</v>
      </c>
      <c r="E1633" s="12" t="s">
        <v>13</v>
      </c>
      <c r="F1633" s="12" t="s">
        <v>4896</v>
      </c>
    </row>
    <row x14ac:dyDescent="0.25" r="1634" customHeight="1" ht="18.75" hidden="1">
      <c r="A1634" s="12" t="s">
        <v>4897</v>
      </c>
      <c r="B1634" s="9">
        <v>45391</v>
      </c>
      <c r="C1634" s="12" t="s">
        <v>2</v>
      </c>
      <c r="D1634" s="12" t="s">
        <v>4898</v>
      </c>
      <c r="E1634" s="12" t="s">
        <v>2</v>
      </c>
      <c r="F1634" s="12" t="s">
        <v>4899</v>
      </c>
    </row>
    <row x14ac:dyDescent="0.25" r="1635" customHeight="1" ht="18.75">
      <c r="A1635" s="12" t="s">
        <v>4900</v>
      </c>
      <c r="B1635" s="9">
        <v>45391</v>
      </c>
      <c r="C1635" s="12" t="s">
        <v>13</v>
      </c>
      <c r="D1635" s="12" t="s">
        <v>4901</v>
      </c>
      <c r="E1635" s="12" t="s">
        <v>13</v>
      </c>
      <c r="F1635" s="12" t="s">
        <v>4902</v>
      </c>
    </row>
    <row x14ac:dyDescent="0.25" r="1636" customHeight="1" ht="18.75" hidden="1">
      <c r="A1636" s="12" t="s">
        <v>4903</v>
      </c>
      <c r="B1636" s="9">
        <v>45391</v>
      </c>
      <c r="C1636" s="12" t="s">
        <v>3</v>
      </c>
      <c r="D1636" s="12" t="s">
        <v>4904</v>
      </c>
      <c r="E1636" s="12" t="s">
        <v>3</v>
      </c>
      <c r="F1636" s="12" t="s">
        <v>4905</v>
      </c>
    </row>
    <row x14ac:dyDescent="0.25" r="1637" customHeight="1" ht="18.75" hidden="1">
      <c r="A1637" s="12" t="s">
        <v>4906</v>
      </c>
      <c r="B1637" s="9">
        <v>45387</v>
      </c>
      <c r="C1637" s="12" t="s">
        <v>2</v>
      </c>
      <c r="D1637" s="12" t="s">
        <v>4907</v>
      </c>
      <c r="E1637" s="12" t="s">
        <v>2</v>
      </c>
      <c r="F1637" s="12" t="s">
        <v>4908</v>
      </c>
    </row>
    <row x14ac:dyDescent="0.25" r="1638" customHeight="1" ht="18.75" hidden="1">
      <c r="A1638" s="12" t="s">
        <v>4909</v>
      </c>
      <c r="B1638" s="9">
        <v>45387</v>
      </c>
      <c r="C1638" s="12" t="s">
        <v>2</v>
      </c>
      <c r="D1638" s="12" t="s">
        <v>4910</v>
      </c>
      <c r="E1638" s="12" t="s">
        <v>2</v>
      </c>
      <c r="F1638" s="12" t="s">
        <v>4911</v>
      </c>
    </row>
    <row x14ac:dyDescent="0.25" r="1639" customHeight="1" ht="18.75" hidden="1">
      <c r="A1639" s="12" t="s">
        <v>4912</v>
      </c>
      <c r="B1639" s="9">
        <v>45386</v>
      </c>
      <c r="C1639" s="12" t="s">
        <v>2</v>
      </c>
      <c r="D1639" s="12" t="s">
        <v>4913</v>
      </c>
      <c r="E1639" s="12" t="s">
        <v>2</v>
      </c>
      <c r="F1639" s="12" t="s">
        <v>4914</v>
      </c>
    </row>
    <row x14ac:dyDescent="0.25" r="1640" customHeight="1" ht="18.75" hidden="1">
      <c r="A1640" s="12" t="s">
        <v>4915</v>
      </c>
      <c r="B1640" s="9">
        <v>45386</v>
      </c>
      <c r="C1640" s="12" t="s">
        <v>2</v>
      </c>
      <c r="D1640" s="12" t="s">
        <v>4916</v>
      </c>
      <c r="E1640" s="12" t="s">
        <v>2</v>
      </c>
      <c r="F1640" s="12" t="s">
        <v>4917</v>
      </c>
    </row>
    <row x14ac:dyDescent="0.25" r="1641" customHeight="1" ht="18.75" hidden="1">
      <c r="A1641" s="12" t="s">
        <v>4918</v>
      </c>
      <c r="B1641" s="9">
        <v>45386</v>
      </c>
      <c r="C1641" s="12" t="s">
        <v>2</v>
      </c>
      <c r="D1641" s="12" t="s">
        <v>4919</v>
      </c>
      <c r="E1641" s="12" t="s">
        <v>2</v>
      </c>
      <c r="F1641" s="12" t="s">
        <v>4920</v>
      </c>
    </row>
    <row x14ac:dyDescent="0.25" r="1642" customHeight="1" ht="18.75">
      <c r="A1642" s="12" t="s">
        <v>4921</v>
      </c>
      <c r="B1642" s="9">
        <v>45386</v>
      </c>
      <c r="C1642" s="12" t="s">
        <v>13</v>
      </c>
      <c r="D1642" s="12" t="s">
        <v>4922</v>
      </c>
      <c r="E1642" s="12" t="s">
        <v>13</v>
      </c>
      <c r="F1642" s="12" t="s">
        <v>4923</v>
      </c>
    </row>
    <row x14ac:dyDescent="0.25" r="1643" customHeight="1" ht="18.75" hidden="1">
      <c r="A1643" s="12" t="s">
        <v>4924</v>
      </c>
      <c r="B1643" s="9">
        <v>45386</v>
      </c>
      <c r="C1643" s="12" t="s">
        <v>2</v>
      </c>
      <c r="D1643" s="12" t="s">
        <v>4925</v>
      </c>
      <c r="E1643" s="12" t="s">
        <v>2</v>
      </c>
      <c r="F1643" s="12" t="s">
        <v>4926</v>
      </c>
    </row>
    <row x14ac:dyDescent="0.25" r="1644" customHeight="1" ht="18.75">
      <c r="A1644" s="12" t="s">
        <v>4927</v>
      </c>
      <c r="B1644" s="9">
        <v>45385</v>
      </c>
      <c r="C1644" s="12" t="s">
        <v>101</v>
      </c>
      <c r="D1644" s="12" t="s">
        <v>4928</v>
      </c>
      <c r="E1644" s="12" t="s">
        <v>13</v>
      </c>
      <c r="F1644" s="12" t="s">
        <v>4929</v>
      </c>
    </row>
    <row x14ac:dyDescent="0.25" r="1645" customHeight="1" ht="18.75" hidden="1">
      <c r="A1645" s="12" t="s">
        <v>4930</v>
      </c>
      <c r="B1645" s="9">
        <v>45384</v>
      </c>
      <c r="C1645" s="12" t="s">
        <v>3</v>
      </c>
      <c r="D1645" s="12" t="s">
        <v>4931</v>
      </c>
      <c r="E1645" s="12" t="s">
        <v>3</v>
      </c>
      <c r="F1645" s="12" t="s">
        <v>4932</v>
      </c>
    </row>
    <row x14ac:dyDescent="0.25" r="1646" customHeight="1" ht="18.75">
      <c r="A1646" s="12" t="s">
        <v>4933</v>
      </c>
      <c r="B1646" s="9">
        <v>45384</v>
      </c>
      <c r="C1646" s="12" t="s">
        <v>13</v>
      </c>
      <c r="D1646" s="12" t="s">
        <v>4934</v>
      </c>
      <c r="E1646" s="12" t="s">
        <v>13</v>
      </c>
      <c r="F1646" s="12" t="s">
        <v>4935</v>
      </c>
    </row>
    <row x14ac:dyDescent="0.25" r="1647" customHeight="1" ht="18.75" hidden="1">
      <c r="A1647" s="12" t="s">
        <v>4936</v>
      </c>
      <c r="B1647" s="9">
        <v>45384</v>
      </c>
      <c r="C1647" s="12" t="s">
        <v>2</v>
      </c>
      <c r="D1647" s="12" t="s">
        <v>4937</v>
      </c>
      <c r="E1647" s="12" t="s">
        <v>2</v>
      </c>
      <c r="F1647" s="12" t="s">
        <v>4938</v>
      </c>
    </row>
    <row x14ac:dyDescent="0.25" r="1648" customHeight="1" ht="18.75" hidden="1">
      <c r="A1648" s="12" t="s">
        <v>4939</v>
      </c>
      <c r="B1648" s="9">
        <v>45384</v>
      </c>
      <c r="C1648" s="12" t="s">
        <v>2</v>
      </c>
      <c r="D1648" s="12" t="s">
        <v>4940</v>
      </c>
      <c r="E1648" s="12" t="s">
        <v>3</v>
      </c>
      <c r="F1648" s="12" t="s">
        <v>4941</v>
      </c>
    </row>
    <row x14ac:dyDescent="0.25" r="1649" customHeight="1" ht="18.75" hidden="1">
      <c r="A1649" s="12" t="s">
        <v>4942</v>
      </c>
      <c r="B1649" s="9">
        <v>45383</v>
      </c>
      <c r="C1649" s="12" t="s">
        <v>2</v>
      </c>
      <c r="D1649" s="12" t="s">
        <v>4943</v>
      </c>
      <c r="E1649" s="12" t="s">
        <v>2</v>
      </c>
      <c r="F1649" s="12" t="s">
        <v>4944</v>
      </c>
    </row>
    <row x14ac:dyDescent="0.25" r="1650" customHeight="1" ht="18.75">
      <c r="A1650" s="12" t="s">
        <v>4945</v>
      </c>
      <c r="B1650" s="9">
        <v>45383</v>
      </c>
      <c r="C1650" s="12" t="s">
        <v>101</v>
      </c>
      <c r="D1650" s="12" t="s">
        <v>4946</v>
      </c>
      <c r="E1650" s="12" t="s">
        <v>13</v>
      </c>
      <c r="F1650" s="12" t="s">
        <v>4947</v>
      </c>
    </row>
    <row x14ac:dyDescent="0.25" r="1651" customHeight="1" ht="18.75" hidden="1">
      <c r="A1651" s="12" t="s">
        <v>4948</v>
      </c>
      <c r="B1651" s="9">
        <v>45383</v>
      </c>
      <c r="C1651" s="12" t="s">
        <v>2</v>
      </c>
      <c r="D1651" s="12" t="s">
        <v>4949</v>
      </c>
      <c r="E1651" s="12" t="s">
        <v>2</v>
      </c>
      <c r="F1651" s="12" t="s">
        <v>4950</v>
      </c>
    </row>
    <row x14ac:dyDescent="0.25" r="1652" customHeight="1" ht="18.75">
      <c r="A1652" s="12" t="s">
        <v>4951</v>
      </c>
      <c r="B1652" s="9">
        <v>45381</v>
      </c>
      <c r="C1652" s="12" t="s">
        <v>13</v>
      </c>
      <c r="D1652" s="12" t="s">
        <v>4952</v>
      </c>
      <c r="E1652" s="12" t="s">
        <v>13</v>
      </c>
      <c r="F1652" s="12" t="s">
        <v>4953</v>
      </c>
    </row>
    <row x14ac:dyDescent="0.25" r="1653" customHeight="1" ht="18.75" hidden="1">
      <c r="A1653" s="12" t="s">
        <v>4954</v>
      </c>
      <c r="B1653" s="9">
        <v>45379</v>
      </c>
      <c r="C1653" s="12" t="s">
        <v>2</v>
      </c>
      <c r="D1653" s="12" t="s">
        <v>4955</v>
      </c>
      <c r="E1653" s="12" t="s">
        <v>2</v>
      </c>
      <c r="F1653" s="12" t="s">
        <v>4956</v>
      </c>
    </row>
    <row x14ac:dyDescent="0.25" r="1654" customHeight="1" ht="18.75" hidden="1">
      <c r="A1654" s="12" t="s">
        <v>4957</v>
      </c>
      <c r="B1654" s="9">
        <v>45379</v>
      </c>
      <c r="C1654" s="12" t="s">
        <v>2</v>
      </c>
      <c r="D1654" s="12" t="s">
        <v>4958</v>
      </c>
      <c r="E1654" s="12" t="s">
        <v>2</v>
      </c>
      <c r="F1654" s="12" t="s">
        <v>4959</v>
      </c>
    </row>
    <row x14ac:dyDescent="0.25" r="1655" customHeight="1" ht="18.75" hidden="1">
      <c r="A1655" s="12" t="s">
        <v>4960</v>
      </c>
      <c r="B1655" s="9">
        <v>45378</v>
      </c>
      <c r="C1655" s="12" t="s">
        <v>2</v>
      </c>
      <c r="D1655" s="12" t="s">
        <v>4961</v>
      </c>
      <c r="E1655" s="12" t="s">
        <v>2</v>
      </c>
      <c r="F1655" s="12" t="s">
        <v>4962</v>
      </c>
    </row>
    <row x14ac:dyDescent="0.25" r="1656" customHeight="1" ht="18.75" hidden="1">
      <c r="A1656" s="12" t="s">
        <v>4963</v>
      </c>
      <c r="B1656" s="9">
        <v>45378</v>
      </c>
      <c r="C1656" s="12" t="s">
        <v>3</v>
      </c>
      <c r="D1656" s="12" t="s">
        <v>4964</v>
      </c>
      <c r="E1656" s="12" t="s">
        <v>3</v>
      </c>
      <c r="F1656" s="12" t="s">
        <v>4965</v>
      </c>
    </row>
    <row x14ac:dyDescent="0.25" r="1657" customHeight="1" ht="18.75" hidden="1">
      <c r="A1657" s="12" t="s">
        <v>4966</v>
      </c>
      <c r="B1657" s="9">
        <v>45376</v>
      </c>
      <c r="C1657" s="12" t="s">
        <v>2</v>
      </c>
      <c r="D1657" s="12" t="s">
        <v>4967</v>
      </c>
      <c r="E1657" s="12" t="s">
        <v>2</v>
      </c>
      <c r="F1657" s="12" t="s">
        <v>4968</v>
      </c>
    </row>
    <row x14ac:dyDescent="0.25" r="1658" customHeight="1" ht="18.75" hidden="1">
      <c r="A1658" s="12" t="s">
        <v>4969</v>
      </c>
      <c r="B1658" s="9">
        <v>45373</v>
      </c>
      <c r="C1658" s="12" t="s">
        <v>2</v>
      </c>
      <c r="D1658" s="12" t="s">
        <v>4970</v>
      </c>
      <c r="E1658" s="12" t="s">
        <v>3</v>
      </c>
      <c r="F1658" s="12" t="s">
        <v>4971</v>
      </c>
    </row>
    <row x14ac:dyDescent="0.25" r="1659" customHeight="1" ht="18.75" hidden="1">
      <c r="A1659" s="12" t="s">
        <v>4972</v>
      </c>
      <c r="B1659" s="9">
        <v>45372</v>
      </c>
      <c r="C1659" s="12" t="s">
        <v>2</v>
      </c>
      <c r="D1659" s="12" t="s">
        <v>4973</v>
      </c>
      <c r="E1659" s="12" t="s">
        <v>2</v>
      </c>
      <c r="F1659" s="12" t="s">
        <v>4974</v>
      </c>
    </row>
    <row x14ac:dyDescent="0.25" r="1660" customHeight="1" ht="18.75">
      <c r="A1660" s="12" t="s">
        <v>4975</v>
      </c>
      <c r="B1660" s="9">
        <v>45372</v>
      </c>
      <c r="C1660" s="12" t="s">
        <v>13</v>
      </c>
      <c r="D1660" s="12" t="s">
        <v>4976</v>
      </c>
      <c r="E1660" s="12" t="s">
        <v>13</v>
      </c>
      <c r="F1660" s="12" t="s">
        <v>4977</v>
      </c>
    </row>
    <row x14ac:dyDescent="0.25" r="1661" customHeight="1" ht="18.75" hidden="1">
      <c r="A1661" s="12" t="s">
        <v>4978</v>
      </c>
      <c r="B1661" s="9">
        <v>45372</v>
      </c>
      <c r="C1661" s="12" t="s">
        <v>3</v>
      </c>
      <c r="D1661" s="12" t="s">
        <v>4979</v>
      </c>
      <c r="E1661" s="12" t="s">
        <v>3</v>
      </c>
      <c r="F1661" s="12" t="s">
        <v>4980</v>
      </c>
    </row>
    <row x14ac:dyDescent="0.25" r="1662" customHeight="1" ht="18.75" hidden="1">
      <c r="A1662" s="12" t="s">
        <v>4981</v>
      </c>
      <c r="B1662" s="9">
        <v>45371</v>
      </c>
      <c r="C1662" s="12" t="s">
        <v>3</v>
      </c>
      <c r="D1662" s="12" t="s">
        <v>4982</v>
      </c>
      <c r="E1662" s="12" t="s">
        <v>3</v>
      </c>
      <c r="F1662" s="12" t="s">
        <v>4983</v>
      </c>
    </row>
    <row x14ac:dyDescent="0.25" r="1663" customHeight="1" ht="18.75" hidden="1">
      <c r="A1663" s="12" t="s">
        <v>4984</v>
      </c>
      <c r="B1663" s="9">
        <v>45370</v>
      </c>
      <c r="C1663" s="12" t="s">
        <v>2</v>
      </c>
      <c r="D1663" s="12" t="s">
        <v>4985</v>
      </c>
      <c r="E1663" s="12" t="s">
        <v>2</v>
      </c>
      <c r="F1663" s="12" t="s">
        <v>4986</v>
      </c>
    </row>
    <row x14ac:dyDescent="0.25" r="1664" customHeight="1" ht="18.75" hidden="1">
      <c r="A1664" s="12" t="s">
        <v>4987</v>
      </c>
      <c r="B1664" s="9">
        <v>45370</v>
      </c>
      <c r="C1664" s="12" t="s">
        <v>2</v>
      </c>
      <c r="D1664" s="12" t="s">
        <v>4988</v>
      </c>
      <c r="E1664" s="12" t="s">
        <v>2</v>
      </c>
      <c r="F1664" s="12" t="s">
        <v>4989</v>
      </c>
    </row>
    <row x14ac:dyDescent="0.25" r="1665" customHeight="1" ht="18.75" hidden="1">
      <c r="A1665" s="12" t="s">
        <v>4990</v>
      </c>
      <c r="B1665" s="9">
        <v>45369</v>
      </c>
      <c r="C1665" s="12" t="s">
        <v>2</v>
      </c>
      <c r="D1665" s="12" t="s">
        <v>4991</v>
      </c>
      <c r="E1665" s="12" t="s">
        <v>2</v>
      </c>
      <c r="F1665" s="12" t="s">
        <v>4992</v>
      </c>
    </row>
    <row x14ac:dyDescent="0.25" r="1666" customHeight="1" ht="18.75" hidden="1">
      <c r="A1666" s="12" t="s">
        <v>4993</v>
      </c>
      <c r="B1666" s="9">
        <v>45369</v>
      </c>
      <c r="C1666" s="12" t="s">
        <v>2</v>
      </c>
      <c r="D1666" s="12" t="s">
        <v>4994</v>
      </c>
      <c r="E1666" s="12" t="s">
        <v>2</v>
      </c>
      <c r="F1666" s="12" t="s">
        <v>4995</v>
      </c>
    </row>
    <row x14ac:dyDescent="0.25" r="1667" customHeight="1" ht="18.75">
      <c r="A1667" s="12" t="s">
        <v>4996</v>
      </c>
      <c r="B1667" s="9">
        <v>45366</v>
      </c>
      <c r="C1667" s="12" t="s">
        <v>13</v>
      </c>
      <c r="D1667" s="12" t="s">
        <v>4997</v>
      </c>
      <c r="E1667" s="12" t="s">
        <v>13</v>
      </c>
      <c r="F1667" s="12" t="s">
        <v>4998</v>
      </c>
    </row>
    <row x14ac:dyDescent="0.25" r="1668" customHeight="1" ht="18.75" hidden="1">
      <c r="A1668" s="12" t="s">
        <v>4999</v>
      </c>
      <c r="B1668" s="9">
        <v>45365</v>
      </c>
      <c r="C1668" s="12" t="s">
        <v>2</v>
      </c>
      <c r="D1668" s="12" t="s">
        <v>5000</v>
      </c>
      <c r="E1668" s="12" t="s">
        <v>2</v>
      </c>
      <c r="F1668" s="12" t="s">
        <v>5001</v>
      </c>
    </row>
    <row x14ac:dyDescent="0.25" r="1669" customHeight="1" ht="18.75">
      <c r="A1669" s="12" t="s">
        <v>5002</v>
      </c>
      <c r="B1669" s="9">
        <v>45364</v>
      </c>
      <c r="C1669" s="12" t="s">
        <v>101</v>
      </c>
      <c r="D1669" s="12" t="s">
        <v>5003</v>
      </c>
      <c r="E1669" s="12" t="s">
        <v>4</v>
      </c>
      <c r="F1669" s="12" t="s">
        <v>5004</v>
      </c>
    </row>
    <row x14ac:dyDescent="0.25" r="1670" customHeight="1" ht="18.75" hidden="1">
      <c r="A1670" s="12" t="s">
        <v>5005</v>
      </c>
      <c r="B1670" s="9">
        <v>45364</v>
      </c>
      <c r="C1670" s="12" t="s">
        <v>2</v>
      </c>
      <c r="D1670" s="12" t="s">
        <v>5006</v>
      </c>
      <c r="E1670" s="12" t="s">
        <v>2</v>
      </c>
      <c r="F1670" s="12" t="s">
        <v>5007</v>
      </c>
    </row>
    <row x14ac:dyDescent="0.25" r="1671" customHeight="1" ht="18.75" hidden="1">
      <c r="A1671" s="12" t="s">
        <v>5008</v>
      </c>
      <c r="B1671" s="9">
        <v>45362</v>
      </c>
      <c r="C1671" s="12" t="s">
        <v>3</v>
      </c>
      <c r="D1671" s="12" t="s">
        <v>5009</v>
      </c>
      <c r="E1671" s="12" t="s">
        <v>3</v>
      </c>
      <c r="F1671" s="12" t="s">
        <v>5010</v>
      </c>
    </row>
    <row x14ac:dyDescent="0.25" r="1672" customHeight="1" ht="18.75">
      <c r="A1672" s="12" t="s">
        <v>5011</v>
      </c>
      <c r="B1672" s="9">
        <v>45351</v>
      </c>
      <c r="C1672" s="12" t="s">
        <v>13</v>
      </c>
      <c r="D1672" s="12" t="s">
        <v>5012</v>
      </c>
      <c r="E1672" s="12" t="s">
        <v>13</v>
      </c>
      <c r="F1672" s="12" t="s">
        <v>5013</v>
      </c>
    </row>
    <row x14ac:dyDescent="0.25" r="1673" customHeight="1" ht="18.75" hidden="1">
      <c r="A1673" s="12" t="s">
        <v>5014</v>
      </c>
      <c r="B1673" s="9">
        <v>45348</v>
      </c>
      <c r="C1673" s="12" t="s">
        <v>2</v>
      </c>
      <c r="D1673" s="12" t="s">
        <v>5015</v>
      </c>
      <c r="E1673" s="12" t="s">
        <v>2</v>
      </c>
      <c r="F1673" s="12" t="s">
        <v>5016</v>
      </c>
    </row>
    <row x14ac:dyDescent="0.25" r="1674" customHeight="1" ht="18.75">
      <c r="A1674" s="12" t="s">
        <v>5017</v>
      </c>
      <c r="B1674" s="9">
        <v>45343</v>
      </c>
      <c r="C1674" s="12" t="s">
        <v>13</v>
      </c>
      <c r="D1674" s="12" t="s">
        <v>5018</v>
      </c>
      <c r="E1674" s="12" t="s">
        <v>13</v>
      </c>
      <c r="F1674" s="12" t="s">
        <v>5019</v>
      </c>
    </row>
    <row x14ac:dyDescent="0.25" r="1675" customHeight="1" ht="18.75" hidden="1">
      <c r="A1675" s="12" t="s">
        <v>5020</v>
      </c>
      <c r="B1675" s="9">
        <v>45338</v>
      </c>
      <c r="C1675" s="12" t="s">
        <v>3</v>
      </c>
      <c r="D1675" s="12" t="s">
        <v>5021</v>
      </c>
      <c r="E1675" s="12" t="s">
        <v>3</v>
      </c>
      <c r="F1675" s="12" t="s">
        <v>5022</v>
      </c>
    </row>
    <row x14ac:dyDescent="0.25" r="1676" customHeight="1" ht="18.75" hidden="1">
      <c r="A1676" s="12" t="s">
        <v>5023</v>
      </c>
      <c r="B1676" s="9">
        <v>45335</v>
      </c>
      <c r="C1676" s="12" t="s">
        <v>2</v>
      </c>
      <c r="D1676" s="12" t="s">
        <v>5024</v>
      </c>
      <c r="E1676" s="12" t="s">
        <v>2</v>
      </c>
      <c r="F1676" s="12" t="s">
        <v>5025</v>
      </c>
    </row>
    <row x14ac:dyDescent="0.25" r="1677" customHeight="1" ht="18.75" hidden="1">
      <c r="A1677" s="12" t="s">
        <v>5026</v>
      </c>
      <c r="B1677" s="9">
        <v>45331</v>
      </c>
      <c r="C1677" s="12" t="s">
        <v>3</v>
      </c>
      <c r="D1677" s="12" t="s">
        <v>5027</v>
      </c>
      <c r="E1677" s="12" t="s">
        <v>2</v>
      </c>
      <c r="F1677" s="12" t="s">
        <v>5028</v>
      </c>
    </row>
    <row x14ac:dyDescent="0.25" r="1678" customHeight="1" ht="18.75" hidden="1">
      <c r="A1678" s="12" t="s">
        <v>5029</v>
      </c>
      <c r="B1678" s="9">
        <v>45328</v>
      </c>
      <c r="C1678" s="12" t="s">
        <v>3</v>
      </c>
      <c r="D1678" s="12" t="s">
        <v>5030</v>
      </c>
      <c r="E1678" s="12" t="s">
        <v>3</v>
      </c>
      <c r="F1678" s="12" t="s">
        <v>5031</v>
      </c>
    </row>
    <row x14ac:dyDescent="0.25" r="1679" customHeight="1" ht="18.75" hidden="1">
      <c r="A1679" s="12" t="s">
        <v>5032</v>
      </c>
      <c r="B1679" s="9">
        <v>45324</v>
      </c>
      <c r="C1679" s="12" t="s">
        <v>3</v>
      </c>
      <c r="D1679" s="12" t="s">
        <v>5033</v>
      </c>
      <c r="E1679" s="12" t="s">
        <v>3</v>
      </c>
      <c r="F1679" s="12" t="s">
        <v>5034</v>
      </c>
    </row>
    <row x14ac:dyDescent="0.25" r="1680" customHeight="1" ht="18.75" hidden="1">
      <c r="A1680" s="12" t="s">
        <v>5035</v>
      </c>
      <c r="B1680" s="9">
        <v>45323</v>
      </c>
      <c r="C1680" s="12" t="s">
        <v>3</v>
      </c>
      <c r="D1680" s="12" t="s">
        <v>5036</v>
      </c>
      <c r="E1680" s="12" t="s">
        <v>3</v>
      </c>
      <c r="F1680" s="12" t="s">
        <v>5037</v>
      </c>
    </row>
    <row x14ac:dyDescent="0.25" r="1681" customHeight="1" ht="18.75" hidden="1">
      <c r="A1681" s="12" t="s">
        <v>5038</v>
      </c>
      <c r="B1681" s="9">
        <v>45321</v>
      </c>
      <c r="C1681" s="12" t="s">
        <v>2</v>
      </c>
      <c r="D1681" s="12" t="s">
        <v>5039</v>
      </c>
      <c r="E1681" s="12" t="s">
        <v>2</v>
      </c>
      <c r="F1681" s="12" t="s">
        <v>5040</v>
      </c>
    </row>
    <row x14ac:dyDescent="0.25" r="1682" customHeight="1" ht="18.75">
      <c r="A1682" s="12" t="s">
        <v>5041</v>
      </c>
      <c r="B1682" s="9">
        <v>45321</v>
      </c>
      <c r="C1682" s="12" t="s">
        <v>101</v>
      </c>
      <c r="D1682" s="12" t="s">
        <v>5042</v>
      </c>
      <c r="E1682" s="12" t="s">
        <v>13</v>
      </c>
      <c r="F1682" s="12" t="s">
        <v>5043</v>
      </c>
    </row>
    <row x14ac:dyDescent="0.25" r="1683" customHeight="1" ht="18.75" hidden="1">
      <c r="A1683" s="12" t="s">
        <v>5044</v>
      </c>
      <c r="B1683" s="9">
        <v>45320</v>
      </c>
      <c r="C1683" s="12" t="s">
        <v>3</v>
      </c>
      <c r="D1683" s="12" t="s">
        <v>5045</v>
      </c>
      <c r="E1683" s="12" t="s">
        <v>3</v>
      </c>
      <c r="F1683" s="12" t="s">
        <v>5046</v>
      </c>
    </row>
    <row x14ac:dyDescent="0.25" r="1684" customHeight="1" ht="18.75" hidden="1">
      <c r="A1684" s="12" t="s">
        <v>5047</v>
      </c>
      <c r="B1684" s="9">
        <v>45317</v>
      </c>
      <c r="C1684" s="12" t="s">
        <v>2</v>
      </c>
      <c r="D1684" s="12" t="s">
        <v>5048</v>
      </c>
      <c r="E1684" s="12" t="s">
        <v>2</v>
      </c>
      <c r="F1684" s="12" t="s">
        <v>5049</v>
      </c>
    </row>
    <row x14ac:dyDescent="0.25" r="1685" customHeight="1" ht="18.75" hidden="1">
      <c r="A1685" s="12" t="s">
        <v>5050</v>
      </c>
      <c r="B1685" s="9">
        <v>45303</v>
      </c>
      <c r="C1685" s="12" t="s">
        <v>2</v>
      </c>
      <c r="D1685" s="12" t="s">
        <v>5051</v>
      </c>
      <c r="E1685" s="12" t="s">
        <v>2</v>
      </c>
      <c r="F1685" s="12" t="s">
        <v>5052</v>
      </c>
    </row>
    <row x14ac:dyDescent="0.25" r="1686" customHeight="1" ht="18.75" hidden="1">
      <c r="A1686" s="12" t="s">
        <v>5053</v>
      </c>
      <c r="B1686" s="9">
        <v>45303</v>
      </c>
      <c r="C1686" s="12" t="s">
        <v>2</v>
      </c>
      <c r="D1686" s="12" t="s">
        <v>5054</v>
      </c>
      <c r="E1686" s="12" t="s">
        <v>2</v>
      </c>
      <c r="F1686" s="12" t="s">
        <v>5055</v>
      </c>
    </row>
    <row x14ac:dyDescent="0.25" r="1687" customHeight="1" ht="18.75" hidden="1">
      <c r="A1687" s="12" t="s">
        <v>5056</v>
      </c>
      <c r="B1687" s="9">
        <v>45303</v>
      </c>
      <c r="C1687" s="12" t="s">
        <v>2</v>
      </c>
      <c r="D1687" s="12" t="s">
        <v>5057</v>
      </c>
      <c r="E1687" s="12" t="s">
        <v>2</v>
      </c>
      <c r="F1687" s="12" t="s">
        <v>5058</v>
      </c>
    </row>
    <row x14ac:dyDescent="0.25" r="1688" customHeight="1" ht="18.75" hidden="1">
      <c r="A1688" s="12" t="s">
        <v>5059</v>
      </c>
      <c r="B1688" s="9">
        <v>45303</v>
      </c>
      <c r="C1688" s="12" t="s">
        <v>3</v>
      </c>
      <c r="D1688" s="12" t="s">
        <v>5060</v>
      </c>
      <c r="E1688" s="12" t="s">
        <v>3</v>
      </c>
      <c r="F1688" s="12" t="s">
        <v>5061</v>
      </c>
    </row>
    <row x14ac:dyDescent="0.25" r="1689" customHeight="1" ht="18.75" hidden="1">
      <c r="A1689" s="12" t="s">
        <v>5062</v>
      </c>
      <c r="B1689" s="9">
        <v>45303</v>
      </c>
      <c r="C1689" s="12" t="s">
        <v>2</v>
      </c>
      <c r="D1689" s="12" t="s">
        <v>5063</v>
      </c>
      <c r="E1689" s="12" t="s">
        <v>2</v>
      </c>
      <c r="F1689" s="12" t="s">
        <v>5064</v>
      </c>
    </row>
    <row x14ac:dyDescent="0.25" r="1690" customHeight="1" ht="18.75" hidden="1">
      <c r="A1690" s="12" t="s">
        <v>5065</v>
      </c>
      <c r="B1690" s="9">
        <v>45303</v>
      </c>
      <c r="C1690" s="12" t="s">
        <v>3</v>
      </c>
      <c r="D1690" s="12" t="s">
        <v>5066</v>
      </c>
      <c r="E1690" s="12" t="s">
        <v>3</v>
      </c>
      <c r="F1690" s="12" t="s">
        <v>5067</v>
      </c>
    </row>
    <row x14ac:dyDescent="0.25" r="1691" customHeight="1" ht="18.75" hidden="1">
      <c r="A1691" s="12" t="s">
        <v>5068</v>
      </c>
      <c r="B1691" s="9">
        <v>45302</v>
      </c>
      <c r="C1691" s="12" t="s">
        <v>2</v>
      </c>
      <c r="D1691" s="12" t="s">
        <v>5069</v>
      </c>
      <c r="E1691" s="12" t="s">
        <v>2</v>
      </c>
      <c r="F1691" s="12" t="s">
        <v>5070</v>
      </c>
    </row>
    <row x14ac:dyDescent="0.25" r="1692" customHeight="1" ht="18.75" hidden="1">
      <c r="A1692" s="12" t="s">
        <v>5071</v>
      </c>
      <c r="B1692" s="9">
        <v>45300</v>
      </c>
      <c r="C1692" s="12" t="s">
        <v>2</v>
      </c>
      <c r="D1692" s="12" t="s">
        <v>5072</v>
      </c>
      <c r="E1692" s="12" t="s">
        <v>2</v>
      </c>
      <c r="F1692" s="12" t="s">
        <v>5073</v>
      </c>
    </row>
    <row x14ac:dyDescent="0.25" r="1693" customHeight="1" ht="18.75" hidden="1">
      <c r="A1693" s="12" t="s">
        <v>5074</v>
      </c>
      <c r="B1693" s="9">
        <v>45299</v>
      </c>
      <c r="C1693" s="12" t="s">
        <v>3</v>
      </c>
      <c r="D1693" s="12" t="s">
        <v>5075</v>
      </c>
      <c r="E1693" s="12" t="s">
        <v>3</v>
      </c>
      <c r="F1693" s="12" t="s">
        <v>5076</v>
      </c>
    </row>
    <row x14ac:dyDescent="0.25" r="1694" customHeight="1" ht="18.75" hidden="1">
      <c r="A1694" s="12" t="s">
        <v>5077</v>
      </c>
      <c r="B1694" s="9">
        <v>45293</v>
      </c>
      <c r="C1694" s="12" t="s">
        <v>2</v>
      </c>
      <c r="D1694" s="12" t="s">
        <v>5078</v>
      </c>
      <c r="E1694" s="12" t="s">
        <v>3</v>
      </c>
      <c r="F1694" s="12" t="s">
        <v>5079</v>
      </c>
    </row>
    <row x14ac:dyDescent="0.25" r="1695" customHeight="1" ht="18.75" hidden="1">
      <c r="A1695" s="12" t="s">
        <v>5080</v>
      </c>
      <c r="B1695" s="9">
        <v>45293</v>
      </c>
      <c r="C1695" s="12" t="s">
        <v>2</v>
      </c>
      <c r="D1695" s="12" t="s">
        <v>5081</v>
      </c>
      <c r="E1695" s="12" t="s">
        <v>2</v>
      </c>
      <c r="F1695" s="12" t="s">
        <v>5082</v>
      </c>
    </row>
    <row x14ac:dyDescent="0.25" r="1696" customHeight="1" ht="18.75" hidden="1">
      <c r="A1696" s="12" t="s">
        <v>5083</v>
      </c>
      <c r="B1696" s="9">
        <v>45289</v>
      </c>
      <c r="C1696" s="12" t="s">
        <v>3</v>
      </c>
      <c r="D1696" s="12" t="s">
        <v>5084</v>
      </c>
      <c r="E1696" s="12" t="s">
        <v>3</v>
      </c>
      <c r="F1696" s="12" t="s">
        <v>5085</v>
      </c>
    </row>
    <row x14ac:dyDescent="0.25" r="1697" customHeight="1" ht="18.75" hidden="1">
      <c r="A1697" s="12" t="s">
        <v>5086</v>
      </c>
      <c r="B1697" s="9">
        <v>45285</v>
      </c>
      <c r="C1697" s="12" t="s">
        <v>3</v>
      </c>
      <c r="D1697" s="12" t="s">
        <v>5087</v>
      </c>
      <c r="E1697" s="12" t="s">
        <v>3</v>
      </c>
      <c r="F1697" s="12" t="s">
        <v>5088</v>
      </c>
    </row>
    <row x14ac:dyDescent="0.25" r="1698" customHeight="1" ht="18.75" hidden="1">
      <c r="A1698" s="12" t="s">
        <v>5089</v>
      </c>
      <c r="B1698" s="9">
        <v>45281</v>
      </c>
      <c r="C1698" s="12" t="s">
        <v>3</v>
      </c>
      <c r="D1698" s="12" t="s">
        <v>5090</v>
      </c>
      <c r="E1698" s="12" t="s">
        <v>3</v>
      </c>
      <c r="F1698" s="12" t="s">
        <v>5091</v>
      </c>
    </row>
    <row x14ac:dyDescent="0.25" r="1699" customHeight="1" ht="18.75" hidden="1">
      <c r="A1699" s="12" t="s">
        <v>5092</v>
      </c>
      <c r="B1699" s="9">
        <v>45280</v>
      </c>
      <c r="C1699" s="12" t="s">
        <v>3</v>
      </c>
      <c r="D1699" s="12" t="s">
        <v>5093</v>
      </c>
      <c r="E1699" s="12" t="s">
        <v>3</v>
      </c>
      <c r="F1699" s="12" t="s">
        <v>5094</v>
      </c>
    </row>
    <row x14ac:dyDescent="0.25" r="1700" customHeight="1" ht="18.75" hidden="1">
      <c r="A1700" s="12" t="s">
        <v>5095</v>
      </c>
      <c r="B1700" s="9">
        <v>45278</v>
      </c>
      <c r="C1700" s="12" t="s">
        <v>2</v>
      </c>
      <c r="D1700" s="12" t="s">
        <v>5096</v>
      </c>
      <c r="E1700" s="12" t="s">
        <v>2</v>
      </c>
      <c r="F1700" s="12" t="s">
        <v>5097</v>
      </c>
    </row>
    <row x14ac:dyDescent="0.25" r="1701" customHeight="1" ht="18.75" hidden="1">
      <c r="A1701" s="12" t="s">
        <v>5098</v>
      </c>
      <c r="B1701" s="9">
        <v>45277</v>
      </c>
      <c r="C1701" s="12" t="s">
        <v>3</v>
      </c>
      <c r="D1701" s="12" t="s">
        <v>5099</v>
      </c>
      <c r="E1701" s="12" t="s">
        <v>3</v>
      </c>
      <c r="F1701" s="12" t="s">
        <v>5100</v>
      </c>
    </row>
    <row x14ac:dyDescent="0.25" r="1702" customHeight="1" ht="18.75" hidden="1">
      <c r="A1702" s="12" t="s">
        <v>5101</v>
      </c>
      <c r="B1702" s="9">
        <v>45275</v>
      </c>
      <c r="C1702" s="12" t="s">
        <v>2</v>
      </c>
      <c r="D1702" s="12" t="s">
        <v>5102</v>
      </c>
      <c r="E1702" s="12" t="s">
        <v>2</v>
      </c>
      <c r="F1702" s="12" t="s">
        <v>5103</v>
      </c>
    </row>
    <row x14ac:dyDescent="0.25" r="1703" customHeight="1" ht="18.75" hidden="1">
      <c r="A1703" s="12" t="s">
        <v>5104</v>
      </c>
      <c r="B1703" s="9">
        <v>45275</v>
      </c>
      <c r="C1703" s="12" t="s">
        <v>3</v>
      </c>
      <c r="D1703" s="12" t="s">
        <v>5105</v>
      </c>
      <c r="E1703" s="12" t="s">
        <v>3</v>
      </c>
      <c r="F1703" s="12" t="s">
        <v>5106</v>
      </c>
    </row>
    <row x14ac:dyDescent="0.25" r="1704" customHeight="1" ht="18.75" hidden="1">
      <c r="A1704" s="12" t="s">
        <v>5107</v>
      </c>
      <c r="B1704" s="9">
        <v>45274</v>
      </c>
      <c r="C1704" s="12" t="s">
        <v>3</v>
      </c>
      <c r="D1704" s="12" t="s">
        <v>5108</v>
      </c>
      <c r="E1704" s="12" t="s">
        <v>3</v>
      </c>
      <c r="F1704" s="12" t="s">
        <v>5109</v>
      </c>
    </row>
    <row x14ac:dyDescent="0.25" r="1705" customHeight="1" ht="18.75" hidden="1">
      <c r="A1705" s="12" t="s">
        <v>5110</v>
      </c>
      <c r="B1705" s="9">
        <v>45272</v>
      </c>
      <c r="C1705" s="12" t="s">
        <v>2</v>
      </c>
      <c r="D1705" s="12" t="s">
        <v>5111</v>
      </c>
      <c r="E1705" s="12" t="s">
        <v>2</v>
      </c>
      <c r="F1705" s="12" t="s">
        <v>5112</v>
      </c>
    </row>
    <row x14ac:dyDescent="0.25" r="1706" customHeight="1" ht="18.75" hidden="1">
      <c r="A1706" s="12" t="s">
        <v>5113</v>
      </c>
      <c r="B1706" s="9">
        <v>45272</v>
      </c>
      <c r="C1706" s="12" t="s">
        <v>3</v>
      </c>
      <c r="D1706" s="12" t="s">
        <v>5114</v>
      </c>
      <c r="E1706" s="12" t="s">
        <v>3</v>
      </c>
      <c r="F1706" s="12" t="s">
        <v>5115</v>
      </c>
    </row>
    <row x14ac:dyDescent="0.25" r="1707" customHeight="1" ht="18.75" hidden="1">
      <c r="A1707" s="12" t="s">
        <v>5116</v>
      </c>
      <c r="B1707" s="9">
        <v>45267</v>
      </c>
      <c r="C1707" s="12" t="s">
        <v>3</v>
      </c>
      <c r="D1707" s="12" t="s">
        <v>5117</v>
      </c>
      <c r="E1707" s="12" t="s">
        <v>3</v>
      </c>
      <c r="F1707" s="12" t="s">
        <v>5118</v>
      </c>
    </row>
    <row x14ac:dyDescent="0.25" r="1708" customHeight="1" ht="18.75" hidden="1">
      <c r="A1708" s="12" t="s">
        <v>5119</v>
      </c>
      <c r="B1708" s="9">
        <v>45267</v>
      </c>
      <c r="C1708" s="12" t="s">
        <v>3</v>
      </c>
      <c r="D1708" s="12" t="s">
        <v>5120</v>
      </c>
      <c r="E1708" s="12" t="s">
        <v>3</v>
      </c>
      <c r="F1708" s="12" t="s">
        <v>5121</v>
      </c>
    </row>
    <row x14ac:dyDescent="0.25" r="1709" customHeight="1" ht="18.75" hidden="1">
      <c r="A1709" s="12" t="s">
        <v>5122</v>
      </c>
      <c r="B1709" s="9">
        <v>45266</v>
      </c>
      <c r="C1709" s="12" t="s">
        <v>3</v>
      </c>
      <c r="D1709" s="12" t="s">
        <v>5123</v>
      </c>
      <c r="E1709" s="12" t="s">
        <v>3</v>
      </c>
      <c r="F1709" s="12" t="s">
        <v>5124</v>
      </c>
    </row>
    <row x14ac:dyDescent="0.25" r="1710" customHeight="1" ht="18.75" hidden="1">
      <c r="A1710" s="12" t="s">
        <v>5125</v>
      </c>
      <c r="B1710" s="9">
        <v>45265</v>
      </c>
      <c r="C1710" s="12" t="s">
        <v>101</v>
      </c>
      <c r="D1710" s="12" t="s">
        <v>5126</v>
      </c>
      <c r="E1710" s="12" t="s">
        <v>2</v>
      </c>
      <c r="F1710" s="12" t="s">
        <v>5127</v>
      </c>
    </row>
    <row x14ac:dyDescent="0.25" r="1711" customHeight="1" ht="18.75" hidden="1">
      <c r="A1711" s="12" t="s">
        <v>5128</v>
      </c>
      <c r="B1711" s="9">
        <v>45265</v>
      </c>
      <c r="C1711" s="12" t="s">
        <v>3</v>
      </c>
      <c r="D1711" s="12" t="s">
        <v>5129</v>
      </c>
      <c r="E1711" s="12" t="s">
        <v>3</v>
      </c>
      <c r="F1711" s="12" t="s">
        <v>5130</v>
      </c>
    </row>
    <row x14ac:dyDescent="0.25" r="1712" customHeight="1" ht="18.75">
      <c r="A1712" s="12" t="s">
        <v>5131</v>
      </c>
      <c r="B1712" s="9">
        <v>45261</v>
      </c>
      <c r="C1712" s="12" t="s">
        <v>101</v>
      </c>
      <c r="D1712" s="12" t="s">
        <v>5132</v>
      </c>
      <c r="E1712" s="12" t="s">
        <v>13</v>
      </c>
      <c r="F1712" s="12" t="s">
        <v>5133</v>
      </c>
    </row>
    <row x14ac:dyDescent="0.25" r="1713" customHeight="1" ht="18.75" hidden="1">
      <c r="A1713" s="12" t="s">
        <v>5134</v>
      </c>
      <c r="B1713" s="9">
        <v>45260</v>
      </c>
      <c r="C1713" s="12" t="s">
        <v>3</v>
      </c>
      <c r="D1713" s="12" t="s">
        <v>5135</v>
      </c>
      <c r="E1713" s="12" t="s">
        <v>3</v>
      </c>
      <c r="F1713" s="12" t="s">
        <v>5136</v>
      </c>
    </row>
    <row x14ac:dyDescent="0.25" r="1714" customHeight="1" ht="18.75">
      <c r="A1714" s="12" t="s">
        <v>5137</v>
      </c>
      <c r="B1714" s="9">
        <v>45259</v>
      </c>
      <c r="C1714" s="12" t="s">
        <v>13</v>
      </c>
      <c r="D1714" s="12" t="s">
        <v>5138</v>
      </c>
      <c r="E1714" s="12" t="s">
        <v>13</v>
      </c>
      <c r="F1714" s="12" t="s">
        <v>5139</v>
      </c>
    </row>
    <row x14ac:dyDescent="0.25" r="1715" customHeight="1" ht="18.75">
      <c r="A1715" s="12" t="s">
        <v>5140</v>
      </c>
      <c r="B1715" s="9">
        <v>45258</v>
      </c>
      <c r="C1715" s="12" t="s">
        <v>13</v>
      </c>
      <c r="D1715" s="12" t="s">
        <v>5140</v>
      </c>
      <c r="E1715" s="12" t="s">
        <v>13</v>
      </c>
      <c r="F1715" s="12" t="s">
        <v>5141</v>
      </c>
    </row>
    <row x14ac:dyDescent="0.25" r="1716" customHeight="1" ht="18.75" hidden="1">
      <c r="A1716" s="12" t="s">
        <v>5142</v>
      </c>
      <c r="B1716" s="9">
        <v>45257</v>
      </c>
      <c r="C1716" s="12" t="s">
        <v>3</v>
      </c>
      <c r="D1716" s="12" t="s">
        <v>5143</v>
      </c>
      <c r="E1716" s="12" t="s">
        <v>3</v>
      </c>
      <c r="F1716" s="12" t="s">
        <v>5144</v>
      </c>
    </row>
    <row x14ac:dyDescent="0.25" r="1717" customHeight="1" ht="18.75" hidden="1">
      <c r="A1717" s="12" t="s">
        <v>5145</v>
      </c>
      <c r="B1717" s="9">
        <v>45257</v>
      </c>
      <c r="C1717" s="12" t="s">
        <v>3</v>
      </c>
      <c r="D1717" s="12" t="s">
        <v>5146</v>
      </c>
      <c r="E1717" s="12" t="s">
        <v>3</v>
      </c>
      <c r="F1717" s="12" t="s">
        <v>5147</v>
      </c>
    </row>
    <row x14ac:dyDescent="0.25" r="1718" customHeight="1" ht="18.75" hidden="1">
      <c r="A1718" s="12" t="s">
        <v>5148</v>
      </c>
      <c r="B1718" s="9">
        <v>45250</v>
      </c>
      <c r="C1718" s="12" t="s">
        <v>2</v>
      </c>
      <c r="D1718" s="12" t="s">
        <v>5149</v>
      </c>
      <c r="E1718" s="12" t="s">
        <v>2</v>
      </c>
      <c r="F1718" s="12" t="s">
        <v>5150</v>
      </c>
    </row>
    <row x14ac:dyDescent="0.25" r="1719" customHeight="1" ht="18.75" hidden="1">
      <c r="A1719" s="12" t="s">
        <v>5151</v>
      </c>
      <c r="B1719" s="9">
        <v>45248</v>
      </c>
      <c r="C1719" s="12" t="s">
        <v>2</v>
      </c>
      <c r="D1719" s="12" t="s">
        <v>5152</v>
      </c>
      <c r="E1719" s="12" t="s">
        <v>2</v>
      </c>
      <c r="F1719" s="12" t="s">
        <v>5153</v>
      </c>
    </row>
    <row x14ac:dyDescent="0.25" r="1720" customHeight="1" ht="18.75" hidden="1">
      <c r="A1720" s="12" t="s">
        <v>5154</v>
      </c>
      <c r="B1720" s="9">
        <v>45246</v>
      </c>
      <c r="C1720" s="12" t="s">
        <v>3</v>
      </c>
      <c r="D1720" s="12" t="s">
        <v>5155</v>
      </c>
      <c r="E1720" s="12" t="s">
        <v>3</v>
      </c>
      <c r="F1720" s="12" t="s">
        <v>5156</v>
      </c>
    </row>
    <row x14ac:dyDescent="0.25" r="1721" customHeight="1" ht="18.75" hidden="1">
      <c r="A1721" s="12" t="s">
        <v>5157</v>
      </c>
      <c r="B1721" s="9">
        <v>45246</v>
      </c>
      <c r="C1721" s="12" t="s">
        <v>2</v>
      </c>
      <c r="D1721" s="12" t="s">
        <v>5158</v>
      </c>
      <c r="E1721" s="12" t="s">
        <v>2</v>
      </c>
      <c r="F1721" s="12" t="s">
        <v>5159</v>
      </c>
    </row>
    <row x14ac:dyDescent="0.25" r="1722" customHeight="1" ht="18.75" hidden="1">
      <c r="A1722" s="12" t="s">
        <v>5160</v>
      </c>
      <c r="B1722" s="9">
        <v>45244</v>
      </c>
      <c r="C1722" s="12" t="s">
        <v>2</v>
      </c>
      <c r="D1722" s="12" t="s">
        <v>5161</v>
      </c>
      <c r="E1722" s="12" t="s">
        <v>2</v>
      </c>
      <c r="F1722" s="12" t="s">
        <v>5162</v>
      </c>
    </row>
    <row x14ac:dyDescent="0.25" r="1723" customHeight="1" ht="18.75" hidden="1">
      <c r="A1723" s="12" t="s">
        <v>5163</v>
      </c>
      <c r="B1723" s="9">
        <v>45243</v>
      </c>
      <c r="C1723" s="12" t="s">
        <v>2</v>
      </c>
      <c r="D1723" s="12" t="s">
        <v>5164</v>
      </c>
      <c r="E1723" s="12" t="s">
        <v>2</v>
      </c>
      <c r="F1723" s="12" t="s">
        <v>5165</v>
      </c>
    </row>
    <row x14ac:dyDescent="0.25" r="1724" customHeight="1" ht="18.75">
      <c r="A1724" s="12" t="s">
        <v>5166</v>
      </c>
      <c r="B1724" s="9">
        <v>45241</v>
      </c>
      <c r="C1724" s="12" t="s">
        <v>13</v>
      </c>
      <c r="D1724" s="12" t="s">
        <v>5167</v>
      </c>
      <c r="E1724" s="12" t="s">
        <v>13</v>
      </c>
      <c r="F1724" s="12" t="s">
        <v>5168</v>
      </c>
    </row>
    <row x14ac:dyDescent="0.25" r="1725" customHeight="1" ht="18.75" hidden="1">
      <c r="A1725" s="12" t="s">
        <v>5169</v>
      </c>
      <c r="B1725" s="9">
        <v>45239</v>
      </c>
      <c r="C1725" s="12" t="s">
        <v>2</v>
      </c>
      <c r="D1725" s="12" t="s">
        <v>5170</v>
      </c>
      <c r="E1725" s="12" t="s">
        <v>2</v>
      </c>
      <c r="F1725" s="12" t="s">
        <v>5171</v>
      </c>
    </row>
    <row x14ac:dyDescent="0.25" r="1726" customHeight="1" ht="18.75" hidden="1">
      <c r="A1726" s="12" t="s">
        <v>5172</v>
      </c>
      <c r="B1726" s="9">
        <v>45238</v>
      </c>
      <c r="C1726" s="12" t="s">
        <v>101</v>
      </c>
      <c r="D1726" s="12" t="s">
        <v>5173</v>
      </c>
      <c r="E1726" s="12" t="s">
        <v>2</v>
      </c>
      <c r="F1726" s="12" t="s">
        <v>5174</v>
      </c>
    </row>
    <row x14ac:dyDescent="0.25" r="1727" customHeight="1" ht="18.75" hidden="1">
      <c r="A1727" s="12" t="s">
        <v>5175</v>
      </c>
      <c r="B1727" s="9">
        <v>45233</v>
      </c>
      <c r="C1727" s="12" t="s">
        <v>2</v>
      </c>
      <c r="D1727" s="12" t="s">
        <v>5176</v>
      </c>
      <c r="E1727" s="12" t="s">
        <v>2</v>
      </c>
      <c r="F1727" s="12" t="s">
        <v>5177</v>
      </c>
    </row>
    <row x14ac:dyDescent="0.25" r="1728" customHeight="1" ht="18.75" hidden="1">
      <c r="A1728" s="12" t="s">
        <v>5178</v>
      </c>
      <c r="B1728" s="9">
        <v>45226</v>
      </c>
      <c r="C1728" s="12" t="s">
        <v>2</v>
      </c>
      <c r="D1728" s="12" t="s">
        <v>5179</v>
      </c>
      <c r="E1728" s="12" t="s">
        <v>2</v>
      </c>
      <c r="F1728" s="12" t="s">
        <v>5180</v>
      </c>
    </row>
    <row x14ac:dyDescent="0.25" r="1729" customHeight="1" ht="18.75">
      <c r="A1729" s="12" t="s">
        <v>5181</v>
      </c>
      <c r="B1729" s="9">
        <v>45224</v>
      </c>
      <c r="C1729" s="12" t="s">
        <v>13</v>
      </c>
      <c r="D1729" s="12" t="s">
        <v>5182</v>
      </c>
      <c r="E1729" s="12" t="s">
        <v>13</v>
      </c>
      <c r="F1729" s="12" t="s">
        <v>5183</v>
      </c>
    </row>
    <row x14ac:dyDescent="0.25" r="1730" customHeight="1" ht="18.75" hidden="1">
      <c r="A1730" s="12" t="s">
        <v>5184</v>
      </c>
      <c r="B1730" s="9">
        <v>45222</v>
      </c>
      <c r="C1730" s="12" t="s">
        <v>2</v>
      </c>
      <c r="D1730" s="12" t="s">
        <v>5185</v>
      </c>
      <c r="E1730" s="12" t="s">
        <v>2</v>
      </c>
      <c r="F1730" s="12" t="s">
        <v>5186</v>
      </c>
    </row>
    <row x14ac:dyDescent="0.25" r="1731" customHeight="1" ht="18.75">
      <c r="A1731" s="12" t="s">
        <v>5187</v>
      </c>
      <c r="B1731" s="9">
        <v>45217</v>
      </c>
      <c r="C1731" s="12" t="s">
        <v>13</v>
      </c>
      <c r="D1731" s="12" t="s">
        <v>5188</v>
      </c>
      <c r="E1731" s="12" t="s">
        <v>13</v>
      </c>
      <c r="F1731" s="12" t="s">
        <v>5189</v>
      </c>
    </row>
    <row x14ac:dyDescent="0.25" r="1732" customHeight="1" ht="18.75" hidden="1">
      <c r="A1732" s="12" t="s">
        <v>5190</v>
      </c>
      <c r="B1732" s="9">
        <v>45215</v>
      </c>
      <c r="C1732" s="12" t="s">
        <v>3</v>
      </c>
      <c r="D1732" s="12" t="s">
        <v>5191</v>
      </c>
      <c r="E1732" s="12" t="s">
        <v>3</v>
      </c>
      <c r="F1732" s="12" t="s">
        <v>5192</v>
      </c>
    </row>
    <row x14ac:dyDescent="0.25" r="1733" customHeight="1" ht="18.75" hidden="1">
      <c r="A1733" s="12" t="s">
        <v>5193</v>
      </c>
      <c r="B1733" s="9">
        <v>45212</v>
      </c>
      <c r="C1733" s="12" t="s">
        <v>2</v>
      </c>
      <c r="D1733" s="12" t="s">
        <v>5194</v>
      </c>
      <c r="E1733" s="12" t="s">
        <v>2</v>
      </c>
      <c r="F1733" s="12" t="s">
        <v>5195</v>
      </c>
    </row>
    <row x14ac:dyDescent="0.25" r="1734" customHeight="1" ht="18.75" hidden="1">
      <c r="A1734" s="12" t="s">
        <v>5196</v>
      </c>
      <c r="B1734" s="9">
        <v>45210</v>
      </c>
      <c r="C1734" s="12" t="s">
        <v>2</v>
      </c>
      <c r="D1734" s="12" t="s">
        <v>5197</v>
      </c>
      <c r="E1734" s="12" t="s">
        <v>2</v>
      </c>
      <c r="F1734" s="12" t="s">
        <v>5198</v>
      </c>
    </row>
    <row x14ac:dyDescent="0.25" r="1735" customHeight="1" ht="18.75" hidden="1">
      <c r="A1735" s="12" t="s">
        <v>5199</v>
      </c>
      <c r="B1735" s="9">
        <v>45210</v>
      </c>
      <c r="C1735" s="12" t="s">
        <v>2</v>
      </c>
      <c r="D1735" s="12" t="s">
        <v>5200</v>
      </c>
      <c r="E1735" s="12" t="s">
        <v>2</v>
      </c>
      <c r="F1735" s="12" t="s">
        <v>5201</v>
      </c>
    </row>
    <row x14ac:dyDescent="0.25" r="1736" customHeight="1" ht="18.75" hidden="1">
      <c r="A1736" s="12" t="s">
        <v>5202</v>
      </c>
      <c r="B1736" s="9">
        <v>45208</v>
      </c>
      <c r="C1736" s="12" t="s">
        <v>2</v>
      </c>
      <c r="D1736" s="12" t="s">
        <v>5203</v>
      </c>
      <c r="E1736" s="12" t="s">
        <v>2</v>
      </c>
      <c r="F1736" s="12" t="s">
        <v>5204</v>
      </c>
    </row>
    <row x14ac:dyDescent="0.25" r="1737" customHeight="1" ht="18.75" hidden="1">
      <c r="A1737" s="12" t="s">
        <v>5205</v>
      </c>
      <c r="B1737" s="9">
        <v>45208</v>
      </c>
      <c r="C1737" s="12" t="s">
        <v>2</v>
      </c>
      <c r="D1737" s="12" t="s">
        <v>5206</v>
      </c>
      <c r="E1737" s="12" t="s">
        <v>2</v>
      </c>
      <c r="F1737" s="12" t="s">
        <v>5207</v>
      </c>
    </row>
    <row x14ac:dyDescent="0.25" r="1738" customHeight="1" ht="18.75" hidden="1">
      <c r="A1738" s="12" t="s">
        <v>5208</v>
      </c>
      <c r="B1738" s="9">
        <v>45197</v>
      </c>
      <c r="C1738" s="12" t="s">
        <v>2</v>
      </c>
      <c r="D1738" s="12" t="s">
        <v>5209</v>
      </c>
      <c r="E1738" s="12" t="s">
        <v>2</v>
      </c>
      <c r="F1738" s="12" t="s">
        <v>5210</v>
      </c>
    </row>
    <row x14ac:dyDescent="0.25" r="1739" customHeight="1" ht="18.75" hidden="1">
      <c r="A1739" s="12" t="s">
        <v>5211</v>
      </c>
      <c r="B1739" s="9">
        <v>45197</v>
      </c>
      <c r="C1739" s="12" t="s">
        <v>2</v>
      </c>
      <c r="D1739" s="12" t="s">
        <v>5212</v>
      </c>
      <c r="E1739" s="12" t="s">
        <v>2</v>
      </c>
      <c r="F1739" s="12" t="s">
        <v>5213</v>
      </c>
    </row>
    <row x14ac:dyDescent="0.25" r="1740" customHeight="1" ht="18.75" hidden="1">
      <c r="A1740" s="12" t="s">
        <v>5214</v>
      </c>
      <c r="B1740" s="9">
        <v>45196</v>
      </c>
      <c r="C1740" s="12" t="s">
        <v>2</v>
      </c>
      <c r="D1740" s="12" t="s">
        <v>5215</v>
      </c>
      <c r="E1740" s="12" t="s">
        <v>2</v>
      </c>
      <c r="F1740" s="12" t="s">
        <v>5216</v>
      </c>
    </row>
    <row x14ac:dyDescent="0.25" r="1741" customHeight="1" ht="18.75" hidden="1">
      <c r="A1741" s="12" t="s">
        <v>5217</v>
      </c>
      <c r="B1741" s="9">
        <v>45193</v>
      </c>
      <c r="C1741" s="12" t="s">
        <v>2</v>
      </c>
      <c r="D1741" s="12" t="s">
        <v>5218</v>
      </c>
      <c r="E1741" s="12" t="s">
        <v>2</v>
      </c>
      <c r="F1741" s="12" t="s">
        <v>5219</v>
      </c>
    </row>
    <row x14ac:dyDescent="0.25" r="1742" customHeight="1" ht="18.75" hidden="1">
      <c r="A1742" s="12" t="s">
        <v>5220</v>
      </c>
      <c r="B1742" s="9">
        <v>45192</v>
      </c>
      <c r="C1742" s="12" t="s">
        <v>3</v>
      </c>
      <c r="D1742" s="12" t="s">
        <v>5221</v>
      </c>
      <c r="E1742" s="12" t="s">
        <v>3</v>
      </c>
      <c r="F1742" s="12" t="s">
        <v>5222</v>
      </c>
    </row>
    <row x14ac:dyDescent="0.25" r="1743" customHeight="1" ht="18.75" hidden="1">
      <c r="A1743" s="12" t="s">
        <v>5223</v>
      </c>
      <c r="B1743" s="9">
        <v>45191</v>
      </c>
      <c r="C1743" s="12" t="s">
        <v>2</v>
      </c>
      <c r="D1743" s="12" t="s">
        <v>5224</v>
      </c>
      <c r="E1743" s="12" t="s">
        <v>2</v>
      </c>
      <c r="F1743" s="12" t="s">
        <v>5225</v>
      </c>
    </row>
    <row x14ac:dyDescent="0.25" r="1744" customHeight="1" ht="18.75" hidden="1">
      <c r="A1744" s="12" t="s">
        <v>5226</v>
      </c>
      <c r="B1744" s="9">
        <v>45189</v>
      </c>
      <c r="C1744" s="12" t="s">
        <v>3</v>
      </c>
      <c r="D1744" s="12" t="s">
        <v>5227</v>
      </c>
      <c r="E1744" s="12" t="s">
        <v>3</v>
      </c>
      <c r="F1744" s="12" t="s">
        <v>5228</v>
      </c>
    </row>
    <row x14ac:dyDescent="0.25" r="1745" customHeight="1" ht="18.75" hidden="1">
      <c r="A1745" s="12" t="s">
        <v>5229</v>
      </c>
      <c r="B1745" s="9">
        <v>45189</v>
      </c>
      <c r="C1745" s="12" t="s">
        <v>2</v>
      </c>
      <c r="D1745" s="12" t="s">
        <v>5230</v>
      </c>
      <c r="E1745" s="12" t="s">
        <v>2</v>
      </c>
      <c r="F1745" s="12" t="s">
        <v>5231</v>
      </c>
    </row>
    <row x14ac:dyDescent="0.25" r="1746" customHeight="1" ht="18.75" hidden="1">
      <c r="A1746" s="12" t="s">
        <v>5232</v>
      </c>
      <c r="B1746" s="9">
        <v>45188</v>
      </c>
      <c r="C1746" s="12" t="s">
        <v>2</v>
      </c>
      <c r="D1746" s="12" t="s">
        <v>5233</v>
      </c>
      <c r="E1746" s="12" t="s">
        <v>2</v>
      </c>
      <c r="F1746" s="12" t="s">
        <v>5234</v>
      </c>
    </row>
    <row x14ac:dyDescent="0.25" r="1747" customHeight="1" ht="18.75" hidden="1">
      <c r="A1747" s="12" t="s">
        <v>5235</v>
      </c>
      <c r="B1747" s="9">
        <v>45187</v>
      </c>
      <c r="C1747" s="12" t="s">
        <v>2</v>
      </c>
      <c r="D1747" s="12" t="s">
        <v>5236</v>
      </c>
      <c r="E1747" s="12" t="s">
        <v>2</v>
      </c>
      <c r="F1747" s="12" t="s">
        <v>5237</v>
      </c>
    </row>
    <row x14ac:dyDescent="0.25" r="1748" customHeight="1" ht="18.75" hidden="1">
      <c r="A1748" s="12" t="s">
        <v>5238</v>
      </c>
      <c r="B1748" s="9">
        <v>45187</v>
      </c>
      <c r="C1748" s="12" t="s">
        <v>2</v>
      </c>
      <c r="D1748" s="12" t="s">
        <v>5239</v>
      </c>
      <c r="E1748" s="12" t="s">
        <v>2</v>
      </c>
      <c r="F1748" s="12" t="s">
        <v>5240</v>
      </c>
    </row>
    <row x14ac:dyDescent="0.25" r="1749" customHeight="1" ht="18.75" hidden="1">
      <c r="A1749" s="12" t="s">
        <v>5241</v>
      </c>
      <c r="B1749" s="9">
        <v>45187</v>
      </c>
      <c r="C1749" s="12" t="s">
        <v>2</v>
      </c>
      <c r="D1749" s="12" t="s">
        <v>5242</v>
      </c>
      <c r="E1749" s="12" t="s">
        <v>2</v>
      </c>
      <c r="F1749" s="12" t="s">
        <v>5243</v>
      </c>
    </row>
    <row x14ac:dyDescent="0.25" r="1750" customHeight="1" ht="18.75" hidden="1">
      <c r="A1750" s="12" t="s">
        <v>5244</v>
      </c>
      <c r="B1750" s="9">
        <v>45183</v>
      </c>
      <c r="C1750" s="12" t="s">
        <v>3</v>
      </c>
      <c r="D1750" s="12" t="s">
        <v>5245</v>
      </c>
      <c r="E1750" s="12" t="s">
        <v>3</v>
      </c>
      <c r="F1750" s="12" t="s">
        <v>5246</v>
      </c>
    </row>
    <row x14ac:dyDescent="0.25" r="1751" customHeight="1" ht="18.75" hidden="1">
      <c r="A1751" s="12" t="s">
        <v>5247</v>
      </c>
      <c r="B1751" s="9">
        <v>45183</v>
      </c>
      <c r="C1751" s="12" t="s">
        <v>2</v>
      </c>
      <c r="D1751" s="12" t="s">
        <v>5248</v>
      </c>
      <c r="E1751" s="12" t="s">
        <v>2</v>
      </c>
      <c r="F1751" s="12" t="s">
        <v>5249</v>
      </c>
    </row>
    <row x14ac:dyDescent="0.25" r="1752" customHeight="1" ht="18.75" hidden="1">
      <c r="A1752" s="12" t="s">
        <v>5250</v>
      </c>
      <c r="B1752" s="9">
        <v>45177</v>
      </c>
      <c r="C1752" s="12" t="s">
        <v>2</v>
      </c>
      <c r="D1752" s="12" t="s">
        <v>5251</v>
      </c>
      <c r="E1752" s="12" t="s">
        <v>2</v>
      </c>
      <c r="F1752" s="12" t="s">
        <v>5252</v>
      </c>
    </row>
    <row x14ac:dyDescent="0.25" r="1753" customHeight="1" ht="18.75" hidden="1">
      <c r="A1753" s="12" t="s">
        <v>5253</v>
      </c>
      <c r="B1753" s="9">
        <v>45174</v>
      </c>
      <c r="C1753" s="12" t="s">
        <v>2</v>
      </c>
      <c r="D1753" s="12" t="s">
        <v>5254</v>
      </c>
      <c r="E1753" s="12" t="s">
        <v>2</v>
      </c>
      <c r="F1753" s="12" t="s">
        <v>5255</v>
      </c>
    </row>
    <row x14ac:dyDescent="0.25" r="1754" customHeight="1" ht="18.75" hidden="1">
      <c r="A1754" s="12" t="s">
        <v>5256</v>
      </c>
      <c r="B1754" s="9">
        <v>45174</v>
      </c>
      <c r="C1754" s="12" t="s">
        <v>2</v>
      </c>
      <c r="D1754" s="12" t="s">
        <v>5257</v>
      </c>
      <c r="E1754" s="12" t="s">
        <v>2</v>
      </c>
      <c r="F1754" s="12" t="s">
        <v>5258</v>
      </c>
    </row>
    <row x14ac:dyDescent="0.25" r="1755" customHeight="1" ht="18.75" hidden="1">
      <c r="A1755" s="12" t="s">
        <v>5259</v>
      </c>
      <c r="B1755" s="9">
        <v>45174</v>
      </c>
      <c r="C1755" s="12" t="s">
        <v>2</v>
      </c>
      <c r="D1755" s="12" t="s">
        <v>5260</v>
      </c>
      <c r="E1755" s="12" t="s">
        <v>2</v>
      </c>
      <c r="F1755" s="12" t="s">
        <v>5261</v>
      </c>
    </row>
    <row x14ac:dyDescent="0.25" r="1756" customHeight="1" ht="18.75" hidden="1">
      <c r="A1756" s="12" t="s">
        <v>5262</v>
      </c>
      <c r="B1756" s="9">
        <v>45170</v>
      </c>
      <c r="C1756" s="12" t="s">
        <v>3</v>
      </c>
      <c r="D1756" s="12" t="s">
        <v>5263</v>
      </c>
      <c r="E1756" s="12" t="s">
        <v>3</v>
      </c>
      <c r="F1756" s="12" t="s">
        <v>5264</v>
      </c>
    </row>
    <row x14ac:dyDescent="0.25" r="1757" customHeight="1" ht="18.75" hidden="1">
      <c r="A1757" s="12" t="s">
        <v>5265</v>
      </c>
      <c r="B1757" s="9">
        <v>45154</v>
      </c>
      <c r="C1757" s="12" t="s">
        <v>2</v>
      </c>
      <c r="D1757" s="12" t="s">
        <v>5266</v>
      </c>
      <c r="E1757" s="12" t="s">
        <v>3</v>
      </c>
      <c r="F1757" s="12" t="s">
        <v>5267</v>
      </c>
    </row>
    <row x14ac:dyDescent="0.25" r="1758" customHeight="1" ht="18.75" hidden="1">
      <c r="A1758" s="12" t="s">
        <v>5268</v>
      </c>
      <c r="B1758" s="9">
        <v>45152</v>
      </c>
      <c r="C1758" s="12" t="s">
        <v>3</v>
      </c>
      <c r="D1758" s="12" t="s">
        <v>5269</v>
      </c>
      <c r="E1758" s="12" t="s">
        <v>3</v>
      </c>
      <c r="F1758" s="12" t="s">
        <v>5270</v>
      </c>
    </row>
    <row x14ac:dyDescent="0.25" r="1759" customHeight="1" ht="18.75" hidden="1">
      <c r="A1759" s="12" t="s">
        <v>5271</v>
      </c>
      <c r="B1759" s="9">
        <v>45151</v>
      </c>
      <c r="C1759" s="12" t="s">
        <v>3</v>
      </c>
      <c r="D1759" s="12" t="s">
        <v>5272</v>
      </c>
      <c r="E1759" s="12" t="s">
        <v>3</v>
      </c>
      <c r="F1759" s="12" t="s">
        <v>5273</v>
      </c>
    </row>
    <row x14ac:dyDescent="0.25" r="1760" customHeight="1" ht="18.75" hidden="1">
      <c r="A1760" s="12" t="s">
        <v>5274</v>
      </c>
      <c r="B1760" s="9">
        <v>45148</v>
      </c>
      <c r="C1760" s="12" t="s">
        <v>2</v>
      </c>
      <c r="D1760" s="12" t="s">
        <v>5275</v>
      </c>
      <c r="E1760" s="12" t="s">
        <v>2</v>
      </c>
      <c r="F1760" s="12" t="s">
        <v>5276</v>
      </c>
    </row>
    <row x14ac:dyDescent="0.25" r="1761" customHeight="1" ht="18.75" hidden="1">
      <c r="A1761" s="12" t="s">
        <v>5277</v>
      </c>
      <c r="B1761" s="9">
        <v>45148</v>
      </c>
      <c r="C1761" s="12" t="s">
        <v>2</v>
      </c>
      <c r="D1761" s="12" t="s">
        <v>5278</v>
      </c>
      <c r="E1761" s="12" t="s">
        <v>2</v>
      </c>
      <c r="F1761" s="12" t="s">
        <v>5279</v>
      </c>
    </row>
    <row x14ac:dyDescent="0.25" r="1762" customHeight="1" ht="18.75">
      <c r="A1762" s="12" t="s">
        <v>5280</v>
      </c>
      <c r="B1762" s="9">
        <v>45146</v>
      </c>
      <c r="C1762" s="12" t="s">
        <v>13</v>
      </c>
      <c r="D1762" s="12" t="s">
        <v>5281</v>
      </c>
      <c r="E1762" s="12" t="s">
        <v>13</v>
      </c>
      <c r="F1762" s="12" t="s">
        <v>5282</v>
      </c>
    </row>
    <row x14ac:dyDescent="0.25" r="1763" customHeight="1" ht="18.75" hidden="1">
      <c r="A1763" s="12" t="s">
        <v>5283</v>
      </c>
      <c r="B1763" s="9">
        <v>45144</v>
      </c>
      <c r="C1763" s="12" t="s">
        <v>2</v>
      </c>
      <c r="D1763" s="12" t="s">
        <v>5284</v>
      </c>
      <c r="E1763" s="12" t="s">
        <v>2</v>
      </c>
      <c r="F1763" s="12" t="s">
        <v>5285</v>
      </c>
    </row>
    <row x14ac:dyDescent="0.25" r="1764" customHeight="1" ht="18.75" hidden="1">
      <c r="A1764" s="12" t="s">
        <v>5286</v>
      </c>
      <c r="B1764" s="9">
        <v>45138</v>
      </c>
      <c r="C1764" s="12" t="s">
        <v>3</v>
      </c>
      <c r="D1764" s="12" t="s">
        <v>5287</v>
      </c>
      <c r="E1764" s="12" t="s">
        <v>3</v>
      </c>
      <c r="F1764" s="12" t="s">
        <v>5288</v>
      </c>
    </row>
    <row x14ac:dyDescent="0.25" r="1765" customHeight="1" ht="18.75" hidden="1">
      <c r="A1765" s="12" t="s">
        <v>5289</v>
      </c>
      <c r="B1765" s="9">
        <v>45134</v>
      </c>
      <c r="C1765" s="12" t="s">
        <v>2</v>
      </c>
      <c r="D1765" s="12" t="s">
        <v>5290</v>
      </c>
      <c r="E1765" s="12" t="s">
        <v>2</v>
      </c>
      <c r="F1765" s="12" t="s">
        <v>5291</v>
      </c>
    </row>
    <row x14ac:dyDescent="0.25" r="1766" customHeight="1" ht="18.75">
      <c r="A1766" s="12" t="s">
        <v>5292</v>
      </c>
      <c r="B1766" s="9">
        <v>45131</v>
      </c>
      <c r="C1766" s="12" t="s">
        <v>3</v>
      </c>
      <c r="D1766" s="12" t="s">
        <v>5293</v>
      </c>
      <c r="E1766" s="12" t="s">
        <v>4</v>
      </c>
      <c r="F1766" s="12" t="s">
        <v>5294</v>
      </c>
    </row>
    <row x14ac:dyDescent="0.25" r="1767" customHeight="1" ht="18.75" hidden="1">
      <c r="A1767" s="12" t="s">
        <v>5295</v>
      </c>
      <c r="B1767" s="9">
        <v>45128</v>
      </c>
      <c r="C1767" s="12" t="s">
        <v>2</v>
      </c>
      <c r="D1767" s="12" t="s">
        <v>5296</v>
      </c>
      <c r="E1767" s="12" t="s">
        <v>2</v>
      </c>
      <c r="F1767" s="12" t="s">
        <v>5297</v>
      </c>
    </row>
    <row x14ac:dyDescent="0.25" r="1768" customHeight="1" ht="18.75">
      <c r="A1768" s="12" t="s">
        <v>5298</v>
      </c>
      <c r="B1768" s="9">
        <v>45127</v>
      </c>
      <c r="C1768" s="12" t="s">
        <v>101</v>
      </c>
      <c r="D1768" s="12" t="s">
        <v>5299</v>
      </c>
      <c r="E1768" s="12" t="s">
        <v>13</v>
      </c>
      <c r="F1768" s="12" t="s">
        <v>5300</v>
      </c>
    </row>
    <row x14ac:dyDescent="0.25" r="1769" customHeight="1" ht="18.75" hidden="1">
      <c r="A1769" s="12" t="s">
        <v>5301</v>
      </c>
      <c r="B1769" s="9">
        <v>45126</v>
      </c>
      <c r="C1769" s="12" t="s">
        <v>2</v>
      </c>
      <c r="D1769" s="12" t="s">
        <v>5302</v>
      </c>
      <c r="E1769" s="12" t="s">
        <v>2</v>
      </c>
      <c r="F1769" s="12" t="s">
        <v>5303</v>
      </c>
    </row>
    <row x14ac:dyDescent="0.25" r="1770" customHeight="1" ht="18.75" hidden="1">
      <c r="A1770" s="12" t="s">
        <v>5304</v>
      </c>
      <c r="B1770" s="9">
        <v>45114</v>
      </c>
      <c r="C1770" s="12" t="s">
        <v>2</v>
      </c>
      <c r="D1770" s="12" t="s">
        <v>5305</v>
      </c>
      <c r="E1770" s="12" t="s">
        <v>2</v>
      </c>
      <c r="F1770" s="12" t="s">
        <v>5306</v>
      </c>
    </row>
    <row x14ac:dyDescent="0.25" r="1771" customHeight="1" ht="18.75">
      <c r="A1771" s="12" t="s">
        <v>5307</v>
      </c>
      <c r="B1771" s="9">
        <v>45112</v>
      </c>
      <c r="C1771" s="12" t="s">
        <v>13</v>
      </c>
      <c r="D1771" s="12" t="s">
        <v>5308</v>
      </c>
      <c r="E1771" s="12" t="s">
        <v>13</v>
      </c>
      <c r="F1771" s="12" t="s">
        <v>5309</v>
      </c>
    </row>
    <row x14ac:dyDescent="0.25" r="1772" customHeight="1" ht="18.75" hidden="1">
      <c r="A1772" s="12" t="s">
        <v>5310</v>
      </c>
      <c r="B1772" s="9">
        <v>45112</v>
      </c>
      <c r="C1772" s="12" t="s">
        <v>2</v>
      </c>
      <c r="D1772" s="12" t="s">
        <v>5311</v>
      </c>
      <c r="E1772" s="12" t="s">
        <v>2</v>
      </c>
      <c r="F1772" s="12" t="s">
        <v>5312</v>
      </c>
    </row>
    <row x14ac:dyDescent="0.25" r="1773" customHeight="1" ht="18.75">
      <c r="A1773" s="12" t="s">
        <v>5313</v>
      </c>
      <c r="B1773" s="9">
        <v>45099</v>
      </c>
      <c r="C1773" s="12" t="s">
        <v>13</v>
      </c>
      <c r="D1773" s="12" t="s">
        <v>5314</v>
      </c>
      <c r="E1773" s="12" t="s">
        <v>13</v>
      </c>
      <c r="F1773" s="12" t="s">
        <v>5315</v>
      </c>
    </row>
    <row x14ac:dyDescent="0.25" r="1774" customHeight="1" ht="18.75">
      <c r="A1774" s="12" t="s">
        <v>5316</v>
      </c>
      <c r="B1774" s="9">
        <v>45097</v>
      </c>
      <c r="C1774" s="12" t="s">
        <v>13</v>
      </c>
      <c r="D1774" s="12" t="s">
        <v>5317</v>
      </c>
      <c r="E1774" s="12" t="s">
        <v>13</v>
      </c>
      <c r="F1774" s="12" t="s">
        <v>5318</v>
      </c>
    </row>
    <row x14ac:dyDescent="0.25" r="1775" customHeight="1" ht="18.75" hidden="1">
      <c r="A1775" s="12" t="s">
        <v>5319</v>
      </c>
      <c r="B1775" s="9">
        <v>45090</v>
      </c>
      <c r="C1775" s="12" t="s">
        <v>2</v>
      </c>
      <c r="D1775" s="12" t="s">
        <v>5320</v>
      </c>
      <c r="E1775" s="12" t="s">
        <v>2</v>
      </c>
      <c r="F1775" s="12" t="s">
        <v>5321</v>
      </c>
    </row>
    <row x14ac:dyDescent="0.25" r="1776" customHeight="1" ht="18.75" hidden="1">
      <c r="A1776" s="12" t="s">
        <v>5322</v>
      </c>
      <c r="B1776" s="9">
        <v>45086</v>
      </c>
      <c r="C1776" s="12" t="s">
        <v>2</v>
      </c>
      <c r="D1776" s="12" t="s">
        <v>5323</v>
      </c>
      <c r="E1776" s="12" t="s">
        <v>2</v>
      </c>
      <c r="F1776" s="12" t="s">
        <v>5324</v>
      </c>
    </row>
    <row x14ac:dyDescent="0.25" r="1777" customHeight="1" ht="18.75" hidden="1">
      <c r="A1777" s="12" t="s">
        <v>5325</v>
      </c>
      <c r="B1777" s="9">
        <v>45083</v>
      </c>
      <c r="C1777" s="12" t="s">
        <v>2</v>
      </c>
      <c r="D1777" s="12" t="s">
        <v>5326</v>
      </c>
      <c r="E1777" s="12" t="s">
        <v>2</v>
      </c>
      <c r="F1777" s="12" t="s">
        <v>5327</v>
      </c>
    </row>
    <row x14ac:dyDescent="0.25" r="1778" customHeight="1" ht="18.75">
      <c r="A1778" s="12" t="s">
        <v>5328</v>
      </c>
      <c r="B1778" s="9">
        <v>45083</v>
      </c>
      <c r="C1778" s="12" t="s">
        <v>13</v>
      </c>
      <c r="D1778" s="12" t="s">
        <v>5329</v>
      </c>
      <c r="E1778" s="12" t="s">
        <v>13</v>
      </c>
      <c r="F1778" s="12" t="s">
        <v>5330</v>
      </c>
    </row>
    <row x14ac:dyDescent="0.25" r="1779" customHeight="1" ht="18.75" hidden="1">
      <c r="A1779" s="12" t="s">
        <v>5331</v>
      </c>
      <c r="B1779" s="9">
        <v>45079</v>
      </c>
      <c r="C1779" s="12" t="s">
        <v>3</v>
      </c>
      <c r="D1779" s="12" t="s">
        <v>5332</v>
      </c>
      <c r="E1779" s="12" t="s">
        <v>3</v>
      </c>
      <c r="F1779" s="12" t="s">
        <v>5333</v>
      </c>
    </row>
    <row x14ac:dyDescent="0.25" r="1780" customHeight="1" ht="18.75" hidden="1">
      <c r="A1780" s="12" t="s">
        <v>5334</v>
      </c>
      <c r="B1780" s="9">
        <v>45077</v>
      </c>
      <c r="C1780" s="12" t="s">
        <v>2</v>
      </c>
      <c r="D1780" s="12" t="s">
        <v>5335</v>
      </c>
      <c r="E1780" s="12" t="s">
        <v>2</v>
      </c>
      <c r="F1780" s="12" t="s">
        <v>5336</v>
      </c>
    </row>
    <row x14ac:dyDescent="0.25" r="1781" customHeight="1" ht="18.75" hidden="1">
      <c r="A1781" s="12" t="s">
        <v>5337</v>
      </c>
      <c r="B1781" s="9">
        <v>45061</v>
      </c>
      <c r="C1781" s="12" t="s">
        <v>2</v>
      </c>
      <c r="D1781" s="12" t="s">
        <v>5338</v>
      </c>
      <c r="E1781" s="12" t="s">
        <v>2</v>
      </c>
      <c r="F1781" s="12" t="s">
        <v>5339</v>
      </c>
    </row>
    <row x14ac:dyDescent="0.25" r="1782" customHeight="1" ht="18.75">
      <c r="A1782" s="12" t="s">
        <v>5340</v>
      </c>
      <c r="B1782" s="9">
        <v>45058</v>
      </c>
      <c r="C1782" s="12" t="s">
        <v>101</v>
      </c>
      <c r="D1782" s="12" t="s">
        <v>5341</v>
      </c>
      <c r="E1782" s="12" t="s">
        <v>13</v>
      </c>
      <c r="F1782" s="12" t="s">
        <v>5342</v>
      </c>
    </row>
    <row x14ac:dyDescent="0.25" r="1783" customHeight="1" ht="18.75" hidden="1">
      <c r="A1783" s="12" t="s">
        <v>5343</v>
      </c>
      <c r="B1783" s="9">
        <v>45054</v>
      </c>
      <c r="C1783" s="12" t="s">
        <v>2</v>
      </c>
      <c r="D1783" s="12" t="s">
        <v>5344</v>
      </c>
      <c r="E1783" s="12" t="s">
        <v>2</v>
      </c>
      <c r="F1783" s="12" t="s">
        <v>5345</v>
      </c>
    </row>
    <row x14ac:dyDescent="0.25" r="1784" customHeight="1" ht="18.75" hidden="1">
      <c r="A1784" s="12" t="s">
        <v>5346</v>
      </c>
      <c r="B1784" s="9">
        <v>45053</v>
      </c>
      <c r="C1784" s="12" t="s">
        <v>3</v>
      </c>
      <c r="D1784" s="12" t="s">
        <v>5347</v>
      </c>
      <c r="E1784" s="12" t="s">
        <v>3</v>
      </c>
      <c r="F1784" s="12" t="s">
        <v>5348</v>
      </c>
    </row>
    <row x14ac:dyDescent="0.25" r="1785" customHeight="1" ht="18.75" hidden="1">
      <c r="A1785" s="12" t="s">
        <v>5349</v>
      </c>
      <c r="B1785" s="9">
        <v>45050</v>
      </c>
      <c r="C1785" s="12" t="s">
        <v>3</v>
      </c>
      <c r="D1785" s="12" t="s">
        <v>5350</v>
      </c>
      <c r="E1785" s="12" t="s">
        <v>3</v>
      </c>
      <c r="F1785" s="12" t="s">
        <v>5351</v>
      </c>
    </row>
    <row x14ac:dyDescent="0.25" r="1786" customHeight="1" ht="18.75" hidden="1">
      <c r="A1786" s="12" t="s">
        <v>5352</v>
      </c>
      <c r="B1786" s="9">
        <v>45050</v>
      </c>
      <c r="C1786" s="12" t="s">
        <v>2</v>
      </c>
      <c r="D1786" s="12" t="s">
        <v>5353</v>
      </c>
      <c r="E1786" s="12" t="s">
        <v>2</v>
      </c>
      <c r="F1786" s="12" t="s">
        <v>5354</v>
      </c>
    </row>
    <row x14ac:dyDescent="0.25" r="1787" customHeight="1" ht="18.75">
      <c r="A1787" s="12" t="s">
        <v>5355</v>
      </c>
      <c r="B1787" s="9">
        <v>45050</v>
      </c>
      <c r="C1787" s="12" t="s">
        <v>101</v>
      </c>
      <c r="D1787" s="12" t="s">
        <v>5356</v>
      </c>
      <c r="E1787" s="12" t="s">
        <v>13</v>
      </c>
      <c r="F1787" s="12" t="s">
        <v>5357</v>
      </c>
    </row>
    <row x14ac:dyDescent="0.25" r="1788" customHeight="1" ht="18.75" hidden="1">
      <c r="A1788" s="12" t="s">
        <v>5358</v>
      </c>
      <c r="B1788" s="9">
        <v>45044</v>
      </c>
      <c r="C1788" s="12" t="s">
        <v>2</v>
      </c>
      <c r="D1788" s="12" t="s">
        <v>5359</v>
      </c>
      <c r="E1788" s="12" t="s">
        <v>2</v>
      </c>
      <c r="F1788" s="12" t="s">
        <v>5360</v>
      </c>
    </row>
    <row x14ac:dyDescent="0.25" r="1789" customHeight="1" ht="18.75" hidden="1">
      <c r="A1789" s="12" t="s">
        <v>5361</v>
      </c>
      <c r="B1789" s="9">
        <v>45042</v>
      </c>
      <c r="C1789" s="12" t="s">
        <v>2</v>
      </c>
      <c r="D1789" s="12" t="s">
        <v>5362</v>
      </c>
      <c r="E1789" s="12" t="s">
        <v>2</v>
      </c>
      <c r="F1789" s="12" t="s">
        <v>5363</v>
      </c>
    </row>
    <row x14ac:dyDescent="0.25" r="1790" customHeight="1" ht="18.75">
      <c r="A1790" s="12" t="s">
        <v>5364</v>
      </c>
      <c r="B1790" s="9">
        <v>45042</v>
      </c>
      <c r="C1790" s="12" t="s">
        <v>101</v>
      </c>
      <c r="D1790" s="12" t="s">
        <v>5365</v>
      </c>
      <c r="E1790" s="12" t="s">
        <v>13</v>
      </c>
      <c r="F1790" s="12" t="s">
        <v>5366</v>
      </c>
    </row>
    <row x14ac:dyDescent="0.25" r="1791" customHeight="1" ht="18.75" hidden="1">
      <c r="A1791" s="12" t="s">
        <v>5367</v>
      </c>
      <c r="B1791" s="9">
        <v>45019</v>
      </c>
      <c r="C1791" s="12" t="s">
        <v>2</v>
      </c>
      <c r="D1791" s="12" t="s">
        <v>5368</v>
      </c>
      <c r="E1791" s="12" t="s">
        <v>2</v>
      </c>
      <c r="F1791" s="12" t="s">
        <v>5369</v>
      </c>
    </row>
    <row x14ac:dyDescent="0.25" r="1792" customHeight="1" ht="18.75" hidden="1">
      <c r="A1792" s="12" t="s">
        <v>5370</v>
      </c>
      <c r="B1792" s="9">
        <v>45019</v>
      </c>
      <c r="C1792" s="12" t="s">
        <v>2</v>
      </c>
      <c r="D1792" s="12" t="s">
        <v>5371</v>
      </c>
      <c r="E1792" s="12" t="s">
        <v>2</v>
      </c>
      <c r="F1792" s="12" t="s">
        <v>5372</v>
      </c>
    </row>
    <row x14ac:dyDescent="0.25" r="1793" customHeight="1" ht="18.75" hidden="1">
      <c r="A1793" s="12" t="s">
        <v>5373</v>
      </c>
      <c r="B1793" s="9">
        <v>45019</v>
      </c>
      <c r="C1793" s="12" t="s">
        <v>3</v>
      </c>
      <c r="D1793" s="12" t="s">
        <v>5374</v>
      </c>
      <c r="E1793" s="12" t="s">
        <v>3</v>
      </c>
      <c r="F1793" s="12" t="s">
        <v>5375</v>
      </c>
    </row>
    <row x14ac:dyDescent="0.25" r="1794" customHeight="1" ht="18.75" hidden="1">
      <c r="A1794" s="12" t="s">
        <v>5376</v>
      </c>
      <c r="B1794" s="9">
        <v>45018</v>
      </c>
      <c r="C1794" s="12" t="s">
        <v>2</v>
      </c>
      <c r="D1794" s="12" t="s">
        <v>5377</v>
      </c>
      <c r="E1794" s="12" t="s">
        <v>2</v>
      </c>
      <c r="F1794" s="12" t="s">
        <v>5378</v>
      </c>
    </row>
    <row x14ac:dyDescent="0.25" r="1795" customHeight="1" ht="18.75" hidden="1">
      <c r="A1795" s="12" t="s">
        <v>5379</v>
      </c>
      <c r="B1795" s="9">
        <v>45014</v>
      </c>
      <c r="C1795" s="12" t="s">
        <v>2</v>
      </c>
      <c r="D1795" s="12" t="s">
        <v>5380</v>
      </c>
      <c r="E1795" s="12" t="s">
        <v>2</v>
      </c>
      <c r="F1795" s="12" t="s">
        <v>5381</v>
      </c>
    </row>
    <row x14ac:dyDescent="0.25" r="1796" customHeight="1" ht="18.75" hidden="1">
      <c r="A1796" s="12" t="s">
        <v>5382</v>
      </c>
      <c r="B1796" s="9">
        <v>45012</v>
      </c>
      <c r="C1796" s="12" t="s">
        <v>2</v>
      </c>
      <c r="D1796" s="12" t="s">
        <v>5383</v>
      </c>
      <c r="E1796" s="12" t="s">
        <v>2</v>
      </c>
      <c r="F1796" s="12" t="s">
        <v>5384</v>
      </c>
    </row>
    <row x14ac:dyDescent="0.25" r="1797" customHeight="1" ht="18.75" hidden="1">
      <c r="A1797" s="12" t="s">
        <v>5385</v>
      </c>
      <c r="B1797" s="9">
        <v>45004</v>
      </c>
      <c r="C1797" s="12" t="s">
        <v>2</v>
      </c>
      <c r="D1797" s="12" t="s">
        <v>5386</v>
      </c>
      <c r="E1797" s="12" t="s">
        <v>2</v>
      </c>
      <c r="F1797" s="12" t="s">
        <v>5387</v>
      </c>
    </row>
    <row x14ac:dyDescent="0.25" r="1798" customHeight="1" ht="18.75" hidden="1">
      <c r="A1798" s="12" t="s">
        <v>5388</v>
      </c>
      <c r="B1798" s="9">
        <v>44998</v>
      </c>
      <c r="C1798" s="12" t="s">
        <v>3</v>
      </c>
      <c r="D1798" s="12" t="s">
        <v>5389</v>
      </c>
      <c r="E1798" s="12" t="s">
        <v>3</v>
      </c>
      <c r="F1798" s="12" t="s">
        <v>5390</v>
      </c>
    </row>
    <row x14ac:dyDescent="0.25" r="1799" customHeight="1" ht="18.75" hidden="1">
      <c r="A1799" s="12" t="s">
        <v>5391</v>
      </c>
      <c r="B1799" s="9">
        <v>44997</v>
      </c>
      <c r="C1799" s="12" t="s">
        <v>2</v>
      </c>
      <c r="D1799" s="12" t="s">
        <v>5392</v>
      </c>
      <c r="E1799" s="12" t="s">
        <v>2</v>
      </c>
      <c r="F1799" s="12" t="s">
        <v>5393</v>
      </c>
    </row>
    <row x14ac:dyDescent="0.25" r="1800" customHeight="1" ht="18.75">
      <c r="A1800" s="12" t="s">
        <v>5394</v>
      </c>
      <c r="B1800" s="9">
        <v>44995</v>
      </c>
      <c r="C1800" s="12" t="s">
        <v>13</v>
      </c>
      <c r="D1800" s="12" t="s">
        <v>5395</v>
      </c>
      <c r="E1800" s="12" t="s">
        <v>13</v>
      </c>
      <c r="F1800" s="12" t="s">
        <v>5396</v>
      </c>
    </row>
    <row x14ac:dyDescent="0.25" r="1801" customHeight="1" ht="18.75" hidden="1">
      <c r="A1801" s="12" t="s">
        <v>5397</v>
      </c>
      <c r="B1801" s="9">
        <v>44990</v>
      </c>
      <c r="C1801" s="12" t="s">
        <v>2</v>
      </c>
      <c r="D1801" s="12" t="s">
        <v>5398</v>
      </c>
      <c r="E1801" s="12" t="s">
        <v>2</v>
      </c>
      <c r="F1801" s="12" t="s">
        <v>5399</v>
      </c>
    </row>
    <row x14ac:dyDescent="0.25" r="1802" customHeight="1" ht="18.75" hidden="1">
      <c r="A1802" s="12" t="s">
        <v>5400</v>
      </c>
      <c r="B1802" s="9">
        <v>44988</v>
      </c>
      <c r="C1802" s="12" t="s">
        <v>3</v>
      </c>
      <c r="D1802" s="12" t="s">
        <v>5401</v>
      </c>
      <c r="E1802" s="12" t="s">
        <v>3</v>
      </c>
      <c r="F1802" s="12" t="s">
        <v>5402</v>
      </c>
    </row>
    <row x14ac:dyDescent="0.25" r="1803" customHeight="1" ht="18.75">
      <c r="A1803" s="12" t="s">
        <v>5403</v>
      </c>
      <c r="B1803" s="9">
        <v>44980</v>
      </c>
      <c r="C1803" s="12" t="s">
        <v>13</v>
      </c>
      <c r="D1803" s="12" t="s">
        <v>5404</v>
      </c>
      <c r="E1803" s="12" t="s">
        <v>13</v>
      </c>
      <c r="F1803" s="12" t="s">
        <v>5405</v>
      </c>
    </row>
    <row x14ac:dyDescent="0.25" r="1804" customHeight="1" ht="18.75">
      <c r="A1804" s="12" t="s">
        <v>5406</v>
      </c>
      <c r="B1804" s="9">
        <v>44978</v>
      </c>
      <c r="C1804" s="12" t="s">
        <v>13</v>
      </c>
      <c r="D1804" s="12" t="s">
        <v>5407</v>
      </c>
      <c r="E1804" s="12" t="s">
        <v>13</v>
      </c>
      <c r="F1804" s="12" t="s">
        <v>5408</v>
      </c>
    </row>
    <row x14ac:dyDescent="0.25" r="1805" customHeight="1" ht="18.75">
      <c r="A1805" s="12" t="s">
        <v>5409</v>
      </c>
      <c r="B1805" s="9">
        <v>44972</v>
      </c>
      <c r="C1805" s="12" t="s">
        <v>13</v>
      </c>
      <c r="D1805" s="12" t="s">
        <v>5410</v>
      </c>
      <c r="E1805" s="12" t="s">
        <v>13</v>
      </c>
      <c r="F1805" s="12" t="s">
        <v>5411</v>
      </c>
    </row>
    <row x14ac:dyDescent="0.25" r="1806" customHeight="1" ht="18.75">
      <c r="A1806" s="12" t="s">
        <v>5412</v>
      </c>
      <c r="B1806" s="9">
        <v>44972</v>
      </c>
      <c r="C1806" s="12" t="s">
        <v>13</v>
      </c>
      <c r="D1806" s="12" t="s">
        <v>5413</v>
      </c>
      <c r="E1806" s="12" t="s">
        <v>13</v>
      </c>
      <c r="F1806" s="12" t="s">
        <v>5414</v>
      </c>
    </row>
    <row x14ac:dyDescent="0.25" r="1807" customHeight="1" ht="18.75" hidden="1">
      <c r="A1807" s="12" t="s">
        <v>5415</v>
      </c>
      <c r="B1807" s="9">
        <v>44970</v>
      </c>
      <c r="C1807" s="12" t="s">
        <v>2</v>
      </c>
      <c r="D1807" s="12" t="s">
        <v>5416</v>
      </c>
      <c r="E1807" s="12" t="s">
        <v>2</v>
      </c>
      <c r="F1807" s="12" t="s">
        <v>5417</v>
      </c>
    </row>
    <row x14ac:dyDescent="0.25" r="1808" customHeight="1" ht="18.75" hidden="1">
      <c r="A1808" s="12" t="s">
        <v>5418</v>
      </c>
      <c r="B1808" s="9">
        <v>44965</v>
      </c>
      <c r="C1808" s="12" t="s">
        <v>13</v>
      </c>
      <c r="D1808" s="12" t="s">
        <v>5419</v>
      </c>
      <c r="E1808" s="12" t="s">
        <v>3</v>
      </c>
      <c r="F1808" s="12" t="s">
        <v>5420</v>
      </c>
    </row>
    <row x14ac:dyDescent="0.25" r="1809" customHeight="1" ht="18.75" hidden="1">
      <c r="A1809" s="12" t="s">
        <v>5421</v>
      </c>
      <c r="B1809" s="9">
        <v>44963</v>
      </c>
      <c r="C1809" s="12" t="s">
        <v>2</v>
      </c>
      <c r="D1809" s="12" t="s">
        <v>5422</v>
      </c>
      <c r="E1809" s="12" t="s">
        <v>2</v>
      </c>
      <c r="F1809" s="12" t="s">
        <v>5423</v>
      </c>
    </row>
    <row x14ac:dyDescent="0.25" r="1810" customHeight="1" ht="18.75" hidden="1">
      <c r="A1810" s="12" t="s">
        <v>5424</v>
      </c>
      <c r="B1810" s="9">
        <v>44959</v>
      </c>
      <c r="C1810" s="12" t="s">
        <v>2</v>
      </c>
      <c r="D1810" s="12" t="s">
        <v>5425</v>
      </c>
      <c r="E1810" s="12" t="s">
        <v>3</v>
      </c>
      <c r="F1810" s="12" t="s">
        <v>5426</v>
      </c>
    </row>
    <row x14ac:dyDescent="0.25" r="1811" customHeight="1" ht="18.75">
      <c r="A1811" s="12" t="s">
        <v>5427</v>
      </c>
      <c r="B1811" s="9">
        <v>44957</v>
      </c>
      <c r="C1811" s="12" t="s">
        <v>13</v>
      </c>
      <c r="D1811" s="12" t="s">
        <v>5428</v>
      </c>
      <c r="E1811" s="12" t="s">
        <v>13</v>
      </c>
      <c r="F1811" s="12" t="s">
        <v>5429</v>
      </c>
    </row>
    <row x14ac:dyDescent="0.25" r="1812" customHeight="1" ht="18.75" hidden="1">
      <c r="A1812" s="12" t="s">
        <v>5430</v>
      </c>
      <c r="B1812" s="9">
        <v>44956</v>
      </c>
      <c r="C1812" s="12" t="s">
        <v>2</v>
      </c>
      <c r="D1812" s="12" t="s">
        <v>5431</v>
      </c>
      <c r="E1812" s="12" t="s">
        <v>2</v>
      </c>
      <c r="F1812" s="12" t="s">
        <v>5432</v>
      </c>
    </row>
    <row x14ac:dyDescent="0.25" r="1813" customHeight="1" ht="18.75" hidden="1">
      <c r="A1813" s="12" t="s">
        <v>5433</v>
      </c>
      <c r="B1813" s="9">
        <v>44950</v>
      </c>
      <c r="C1813" s="12" t="s">
        <v>3</v>
      </c>
      <c r="D1813" s="12" t="s">
        <v>5434</v>
      </c>
      <c r="E1813" s="12" t="s">
        <v>3</v>
      </c>
      <c r="F1813" s="12" t="s">
        <v>5435</v>
      </c>
    </row>
    <row x14ac:dyDescent="0.25" r="1814" customHeight="1" ht="18.75" hidden="1">
      <c r="A1814" s="12" t="s">
        <v>5436</v>
      </c>
      <c r="B1814" s="9">
        <v>44944</v>
      </c>
      <c r="C1814" s="12" t="s">
        <v>3</v>
      </c>
      <c r="D1814" s="12" t="s">
        <v>5437</v>
      </c>
      <c r="E1814" s="12" t="s">
        <v>3</v>
      </c>
      <c r="F1814" s="12" t="s">
        <v>5438</v>
      </c>
    </row>
    <row x14ac:dyDescent="0.25" r="1815" customHeight="1" ht="18.75" hidden="1">
      <c r="A1815" s="12" t="s">
        <v>5439</v>
      </c>
      <c r="B1815" s="9">
        <v>44941</v>
      </c>
      <c r="C1815" s="12" t="s">
        <v>2</v>
      </c>
      <c r="D1815" s="12" t="s">
        <v>5440</v>
      </c>
      <c r="E1815" s="12" t="s">
        <v>2</v>
      </c>
      <c r="F1815" s="12" t="s">
        <v>5441</v>
      </c>
    </row>
    <row x14ac:dyDescent="0.25" r="1816" customHeight="1" ht="18.75" hidden="1">
      <c r="A1816" s="12" t="s">
        <v>5442</v>
      </c>
      <c r="B1816" s="9">
        <v>44935</v>
      </c>
      <c r="C1816" s="12" t="s">
        <v>3</v>
      </c>
      <c r="D1816" s="12" t="s">
        <v>5443</v>
      </c>
      <c r="E1816" s="12" t="s">
        <v>3</v>
      </c>
      <c r="F1816" s="12" t="s">
        <v>5444</v>
      </c>
    </row>
    <row x14ac:dyDescent="0.25" r="1817" customHeight="1" ht="18.75">
      <c r="A1817" s="12" t="s">
        <v>5445</v>
      </c>
      <c r="B1817" s="9">
        <v>44934</v>
      </c>
      <c r="C1817" s="12" t="s">
        <v>13</v>
      </c>
      <c r="D1817" s="12" t="s">
        <v>5446</v>
      </c>
      <c r="E1817" s="12" t="s">
        <v>13</v>
      </c>
      <c r="F1817" s="12" t="s">
        <v>5447</v>
      </c>
    </row>
    <row x14ac:dyDescent="0.25" r="1818" customHeight="1" ht="18.75" hidden="1">
      <c r="A1818" s="12" t="s">
        <v>5448</v>
      </c>
      <c r="B1818" s="9">
        <v>44930</v>
      </c>
      <c r="C1818" s="12" t="s">
        <v>3</v>
      </c>
      <c r="D1818" s="12" t="s">
        <v>5449</v>
      </c>
      <c r="E1818" s="12" t="s">
        <v>3</v>
      </c>
      <c r="F1818" s="12" t="s">
        <v>5450</v>
      </c>
    </row>
    <row x14ac:dyDescent="0.25" r="1819" customHeight="1" ht="18.75">
      <c r="A1819" s="12" t="s">
        <v>5451</v>
      </c>
      <c r="B1819" s="9">
        <v>44930</v>
      </c>
      <c r="C1819" s="12" t="s">
        <v>13</v>
      </c>
      <c r="D1819" s="12" t="s">
        <v>5452</v>
      </c>
      <c r="E1819" s="12" t="s">
        <v>13</v>
      </c>
      <c r="F1819" s="12" t="s">
        <v>5453</v>
      </c>
    </row>
    <row x14ac:dyDescent="0.25" r="1820" customHeight="1" ht="18.75">
      <c r="A1820" s="12" t="s">
        <v>5454</v>
      </c>
      <c r="B1820" s="9">
        <v>44929</v>
      </c>
      <c r="C1820" s="12" t="s">
        <v>13</v>
      </c>
      <c r="D1820" s="12" t="s">
        <v>5455</v>
      </c>
      <c r="E1820" s="12" t="s">
        <v>13</v>
      </c>
      <c r="F1820" s="12" t="s">
        <v>5456</v>
      </c>
    </row>
    <row x14ac:dyDescent="0.25" r="1821" customHeight="1" ht="18.75" hidden="1">
      <c r="A1821" s="12" t="s">
        <v>5457</v>
      </c>
      <c r="B1821" s="9">
        <v>44927</v>
      </c>
      <c r="C1821" s="12" t="s">
        <v>2</v>
      </c>
      <c r="D1821" s="12" t="s">
        <v>5458</v>
      </c>
      <c r="E1821" s="12" t="s">
        <v>2</v>
      </c>
      <c r="F1821" s="12" t="s">
        <v>5459</v>
      </c>
    </row>
    <row x14ac:dyDescent="0.25" r="1822" customHeight="1" ht="18.75" hidden="1">
      <c r="A1822" s="12" t="s">
        <v>5460</v>
      </c>
      <c r="B1822" s="9">
        <v>44927</v>
      </c>
      <c r="C1822" s="12" t="s">
        <v>3</v>
      </c>
      <c r="D1822" s="12" t="s">
        <v>5461</v>
      </c>
      <c r="E1822" s="12" t="s">
        <v>3</v>
      </c>
      <c r="F1822" s="12" t="s">
        <v>5462</v>
      </c>
    </row>
    <row x14ac:dyDescent="0.25" r="1823" customHeight="1" ht="18.75">
      <c r="A1823" s="12" t="s">
        <v>5463</v>
      </c>
      <c r="B1823" s="9">
        <v>44922</v>
      </c>
      <c r="C1823" s="12" t="s">
        <v>13</v>
      </c>
      <c r="D1823" s="12" t="s">
        <v>5464</v>
      </c>
      <c r="E1823" s="12" t="s">
        <v>13</v>
      </c>
      <c r="F1823" s="12" t="s">
        <v>5465</v>
      </c>
    </row>
    <row x14ac:dyDescent="0.25" r="1824" customHeight="1" ht="18.75" hidden="1">
      <c r="A1824" s="12" t="s">
        <v>5466</v>
      </c>
      <c r="B1824" s="9">
        <v>44904</v>
      </c>
      <c r="C1824" s="12" t="s">
        <v>2</v>
      </c>
      <c r="D1824" s="12" t="s">
        <v>5467</v>
      </c>
      <c r="E1824" s="12" t="s">
        <v>2</v>
      </c>
      <c r="F1824" s="12" t="s">
        <v>5468</v>
      </c>
    </row>
    <row x14ac:dyDescent="0.25" r="1825" customHeight="1" ht="18.75" hidden="1">
      <c r="A1825" s="12" t="s">
        <v>5469</v>
      </c>
      <c r="B1825" s="9">
        <v>44901</v>
      </c>
      <c r="C1825" s="12" t="s">
        <v>2</v>
      </c>
      <c r="D1825" s="12" t="s">
        <v>5470</v>
      </c>
      <c r="E1825" s="12" t="s">
        <v>2</v>
      </c>
      <c r="F1825" s="12" t="s">
        <v>5471</v>
      </c>
    </row>
    <row x14ac:dyDescent="0.25" r="1826" customHeight="1" ht="18.75" hidden="1">
      <c r="A1826" s="12" t="s">
        <v>5472</v>
      </c>
      <c r="B1826" s="9">
        <v>44901</v>
      </c>
      <c r="C1826" s="12" t="s">
        <v>3</v>
      </c>
      <c r="D1826" s="12" t="s">
        <v>5473</v>
      </c>
      <c r="E1826" s="12" t="s">
        <v>3</v>
      </c>
      <c r="F1826" s="12" t="s">
        <v>5474</v>
      </c>
    </row>
    <row x14ac:dyDescent="0.25" r="1827" customHeight="1" ht="18.75" hidden="1">
      <c r="A1827" s="12" t="s">
        <v>5475</v>
      </c>
      <c r="B1827" s="9">
        <v>44893</v>
      </c>
      <c r="C1827" s="12" t="s">
        <v>2</v>
      </c>
      <c r="D1827" s="12" t="s">
        <v>5476</v>
      </c>
      <c r="E1827" s="12" t="s">
        <v>2</v>
      </c>
      <c r="F1827" s="12" t="s">
        <v>5477</v>
      </c>
    </row>
    <row x14ac:dyDescent="0.25" r="1828" customHeight="1" ht="18.75" hidden="1">
      <c r="A1828" s="12" t="s">
        <v>5478</v>
      </c>
      <c r="B1828" s="9">
        <v>44887</v>
      </c>
      <c r="C1828" s="12" t="s">
        <v>3</v>
      </c>
      <c r="D1828" s="12" t="s">
        <v>5479</v>
      </c>
      <c r="E1828" s="12" t="s">
        <v>3</v>
      </c>
      <c r="F1828" s="12" t="s">
        <v>5480</v>
      </c>
    </row>
    <row x14ac:dyDescent="0.25" r="1829" customHeight="1" ht="18.75" hidden="1">
      <c r="A1829" s="12" t="s">
        <v>5481</v>
      </c>
      <c r="B1829" s="9">
        <v>44886</v>
      </c>
      <c r="C1829" s="12" t="s">
        <v>3</v>
      </c>
      <c r="D1829" s="12" t="s">
        <v>5482</v>
      </c>
      <c r="E1829" s="12" t="s">
        <v>3</v>
      </c>
      <c r="F1829" s="12" t="s">
        <v>5483</v>
      </c>
    </row>
    <row x14ac:dyDescent="0.25" r="1830" customHeight="1" ht="18.75">
      <c r="A1830" s="12" t="s">
        <v>5484</v>
      </c>
      <c r="B1830" s="9">
        <v>44875</v>
      </c>
      <c r="C1830" s="12" t="s">
        <v>13</v>
      </c>
      <c r="D1830" s="12" t="s">
        <v>5485</v>
      </c>
      <c r="E1830" s="12" t="s">
        <v>13</v>
      </c>
      <c r="F1830" s="12" t="s">
        <v>5486</v>
      </c>
    </row>
    <row x14ac:dyDescent="0.25" r="1831" customHeight="1" ht="18.75">
      <c r="A1831" s="12" t="s">
        <v>5487</v>
      </c>
      <c r="B1831" s="9">
        <v>44865</v>
      </c>
      <c r="C1831" s="12" t="s">
        <v>13</v>
      </c>
      <c r="D1831" s="12" t="s">
        <v>5488</v>
      </c>
      <c r="E1831" s="12" t="s">
        <v>13</v>
      </c>
      <c r="F1831" s="12" t="s">
        <v>5489</v>
      </c>
    </row>
    <row x14ac:dyDescent="0.25" r="1832" customHeight="1" ht="18.75">
      <c r="A1832" s="12" t="s">
        <v>5490</v>
      </c>
      <c r="B1832" s="9">
        <v>44861</v>
      </c>
      <c r="C1832" s="12" t="s">
        <v>101</v>
      </c>
      <c r="D1832" s="12" t="s">
        <v>5491</v>
      </c>
      <c r="E1832" s="12" t="s">
        <v>13</v>
      </c>
      <c r="F1832" s="12" t="s">
        <v>5492</v>
      </c>
    </row>
    <row x14ac:dyDescent="0.25" r="1833" customHeight="1" ht="18.75" hidden="1">
      <c r="A1833" s="12" t="s">
        <v>5493</v>
      </c>
      <c r="B1833" s="9">
        <v>44852</v>
      </c>
      <c r="C1833" s="12" t="s">
        <v>2</v>
      </c>
      <c r="D1833" s="12" t="s">
        <v>5494</v>
      </c>
      <c r="E1833" s="12" t="s">
        <v>2</v>
      </c>
      <c r="F1833" s="12" t="s">
        <v>5495</v>
      </c>
    </row>
    <row x14ac:dyDescent="0.25" r="1834" customHeight="1" ht="18.75" hidden="1">
      <c r="A1834" s="12" t="s">
        <v>5496</v>
      </c>
      <c r="B1834" s="9">
        <v>44848</v>
      </c>
      <c r="C1834" s="12" t="s">
        <v>3</v>
      </c>
      <c r="D1834" s="12" t="s">
        <v>5497</v>
      </c>
      <c r="E1834" s="12" t="s">
        <v>3</v>
      </c>
      <c r="F1834" s="12" t="s">
        <v>5498</v>
      </c>
    </row>
    <row x14ac:dyDescent="0.25" r="1835" customHeight="1" ht="18.75">
      <c r="A1835" s="12" t="s">
        <v>5499</v>
      </c>
      <c r="B1835" s="9">
        <v>44840</v>
      </c>
      <c r="C1835" s="12" t="s">
        <v>101</v>
      </c>
      <c r="D1835" s="12" t="s">
        <v>5500</v>
      </c>
      <c r="E1835" s="12" t="s">
        <v>4</v>
      </c>
      <c r="F1835" s="12" t="s">
        <v>5501</v>
      </c>
    </row>
    <row x14ac:dyDescent="0.25" r="1836" customHeight="1" ht="18.75">
      <c r="A1836" s="12" t="s">
        <v>5502</v>
      </c>
      <c r="B1836" s="9">
        <v>44833</v>
      </c>
      <c r="C1836" s="12" t="s">
        <v>13</v>
      </c>
      <c r="D1836" s="12" t="s">
        <v>5503</v>
      </c>
      <c r="E1836" s="12" t="s">
        <v>13</v>
      </c>
      <c r="F1836" s="12" t="s">
        <v>5504</v>
      </c>
    </row>
    <row x14ac:dyDescent="0.25" r="1837" customHeight="1" ht="18.75">
      <c r="A1837" s="12" t="s">
        <v>5505</v>
      </c>
      <c r="B1837" s="9">
        <v>44823</v>
      </c>
      <c r="C1837" s="12" t="s">
        <v>13</v>
      </c>
      <c r="D1837" s="12" t="s">
        <v>5506</v>
      </c>
      <c r="E1837" s="12" t="s">
        <v>13</v>
      </c>
      <c r="F1837" s="12" t="s">
        <v>5507</v>
      </c>
    </row>
    <row x14ac:dyDescent="0.25" r="1838" customHeight="1" ht="18.75" hidden="1">
      <c r="A1838" s="12" t="s">
        <v>5508</v>
      </c>
      <c r="B1838" s="9">
        <v>44818</v>
      </c>
      <c r="C1838" s="12" t="s">
        <v>2</v>
      </c>
      <c r="D1838" s="12" t="s">
        <v>5509</v>
      </c>
      <c r="E1838" s="12" t="s">
        <v>2</v>
      </c>
      <c r="F1838" s="12" t="s">
        <v>5510</v>
      </c>
    </row>
    <row x14ac:dyDescent="0.25" r="1839" customHeight="1" ht="18.75" hidden="1">
      <c r="A1839" s="12" t="s">
        <v>5511</v>
      </c>
      <c r="B1839" s="9">
        <v>44802</v>
      </c>
      <c r="C1839" s="12" t="s">
        <v>2</v>
      </c>
      <c r="D1839" s="12" t="s">
        <v>5512</v>
      </c>
      <c r="E1839" s="12" t="s">
        <v>2</v>
      </c>
      <c r="F1839" s="12" t="s">
        <v>5513</v>
      </c>
    </row>
    <row x14ac:dyDescent="0.25" r="1840" customHeight="1" ht="18.75" hidden="1">
      <c r="A1840" s="12" t="s">
        <v>5514</v>
      </c>
      <c r="B1840" s="9">
        <v>44785</v>
      </c>
      <c r="C1840" s="12" t="s">
        <v>2</v>
      </c>
      <c r="D1840" s="12" t="s">
        <v>5515</v>
      </c>
      <c r="E1840" s="12" t="s">
        <v>2</v>
      </c>
      <c r="F1840" s="12" t="s">
        <v>5516</v>
      </c>
    </row>
    <row x14ac:dyDescent="0.25" r="1841" customHeight="1" ht="18.75" hidden="1">
      <c r="A1841" s="12" t="s">
        <v>5517</v>
      </c>
      <c r="B1841" s="9">
        <v>44784</v>
      </c>
      <c r="C1841" s="12" t="s">
        <v>3</v>
      </c>
      <c r="D1841" s="12" t="s">
        <v>5518</v>
      </c>
      <c r="E1841" s="12" t="s">
        <v>3</v>
      </c>
      <c r="F1841" s="12" t="s">
        <v>5519</v>
      </c>
    </row>
    <row x14ac:dyDescent="0.25" r="1842" customHeight="1" ht="18.75" hidden="1">
      <c r="A1842" s="12" t="s">
        <v>5520</v>
      </c>
      <c r="B1842" s="9">
        <v>44783</v>
      </c>
      <c r="C1842" s="12" t="s">
        <v>2</v>
      </c>
      <c r="D1842" s="12" t="s">
        <v>5521</v>
      </c>
      <c r="E1842" s="12" t="s">
        <v>2</v>
      </c>
      <c r="F1842" s="12" t="s">
        <v>5522</v>
      </c>
    </row>
    <row x14ac:dyDescent="0.25" r="1843" customHeight="1" ht="18.75" hidden="1">
      <c r="A1843" s="12" t="s">
        <v>5523</v>
      </c>
      <c r="B1843" s="9">
        <v>44783</v>
      </c>
      <c r="C1843" s="12" t="s">
        <v>3</v>
      </c>
      <c r="D1843" s="12" t="s">
        <v>5524</v>
      </c>
      <c r="E1843" s="12" t="s">
        <v>3</v>
      </c>
      <c r="F1843" s="12" t="s">
        <v>5525</v>
      </c>
    </row>
    <row x14ac:dyDescent="0.25" r="1844" customHeight="1" ht="18.75">
      <c r="A1844" s="12" t="s">
        <v>5526</v>
      </c>
      <c r="B1844" s="9">
        <v>44782</v>
      </c>
      <c r="C1844" s="12" t="s">
        <v>101</v>
      </c>
      <c r="D1844" s="12" t="s">
        <v>5527</v>
      </c>
      <c r="E1844" s="12" t="s">
        <v>13</v>
      </c>
      <c r="F1844" s="12" t="s">
        <v>5528</v>
      </c>
    </row>
    <row x14ac:dyDescent="0.25" r="1845" customHeight="1" ht="18.75" hidden="1">
      <c r="A1845" s="12" t="s">
        <v>5529</v>
      </c>
      <c r="B1845" s="9">
        <v>44780</v>
      </c>
      <c r="C1845" s="12" t="s">
        <v>2</v>
      </c>
      <c r="D1845" s="12" t="s">
        <v>5530</v>
      </c>
      <c r="E1845" s="12" t="s">
        <v>3</v>
      </c>
      <c r="F1845" s="12" t="s">
        <v>5531</v>
      </c>
    </row>
    <row x14ac:dyDescent="0.25" r="1846" customHeight="1" ht="18.75" hidden="1">
      <c r="A1846" s="12" t="s">
        <v>5532</v>
      </c>
      <c r="B1846" s="9">
        <v>44767</v>
      </c>
      <c r="C1846" s="12" t="s">
        <v>2</v>
      </c>
      <c r="D1846" s="12" t="s">
        <v>5533</v>
      </c>
      <c r="E1846" s="12" t="s">
        <v>2</v>
      </c>
      <c r="F1846" s="12" t="s">
        <v>5534</v>
      </c>
    </row>
    <row x14ac:dyDescent="0.25" r="1847" customHeight="1" ht="18.75" hidden="1">
      <c r="A1847" s="12" t="s">
        <v>5535</v>
      </c>
      <c r="B1847" s="9">
        <v>44767</v>
      </c>
      <c r="C1847" s="12" t="s">
        <v>3</v>
      </c>
      <c r="D1847" s="12" t="s">
        <v>5536</v>
      </c>
      <c r="E1847" s="12" t="s">
        <v>3</v>
      </c>
      <c r="F1847" s="12" t="s">
        <v>5537</v>
      </c>
    </row>
    <row x14ac:dyDescent="0.25" r="1848" customHeight="1" ht="18.75" hidden="1">
      <c r="A1848" s="12" t="s">
        <v>5538</v>
      </c>
      <c r="B1848" s="9">
        <v>44761</v>
      </c>
      <c r="C1848" s="12" t="s">
        <v>2</v>
      </c>
      <c r="D1848" s="12" t="s">
        <v>5539</v>
      </c>
      <c r="E1848" s="12" t="s">
        <v>2</v>
      </c>
      <c r="F1848" s="12" t="s">
        <v>5540</v>
      </c>
    </row>
    <row x14ac:dyDescent="0.25" r="1849" customHeight="1" ht="18.75" hidden="1">
      <c r="A1849" s="12" t="s">
        <v>5541</v>
      </c>
      <c r="B1849" s="9">
        <v>44757</v>
      </c>
      <c r="C1849" s="12" t="s">
        <v>3</v>
      </c>
      <c r="D1849" s="12" t="s">
        <v>5542</v>
      </c>
      <c r="E1849" s="12" t="s">
        <v>3</v>
      </c>
      <c r="F1849" s="12" t="s">
        <v>5543</v>
      </c>
    </row>
    <row x14ac:dyDescent="0.25" r="1850" customHeight="1" ht="18.75" hidden="1">
      <c r="A1850" s="12" t="s">
        <v>5544</v>
      </c>
      <c r="B1850" s="9">
        <v>44756</v>
      </c>
      <c r="C1850" s="12" t="s">
        <v>3</v>
      </c>
      <c r="D1850" s="12" t="s">
        <v>5545</v>
      </c>
      <c r="E1850" s="12" t="s">
        <v>3</v>
      </c>
      <c r="F1850" s="12" t="s">
        <v>5546</v>
      </c>
    </row>
    <row x14ac:dyDescent="0.25" r="1851" customHeight="1" ht="18.75" hidden="1">
      <c r="A1851" s="12" t="s">
        <v>5547</v>
      </c>
      <c r="B1851" s="9">
        <v>44756</v>
      </c>
      <c r="C1851" s="12" t="s">
        <v>3</v>
      </c>
      <c r="D1851" s="12" t="s">
        <v>5548</v>
      </c>
      <c r="E1851" s="12" t="s">
        <v>3</v>
      </c>
      <c r="F1851" s="12" t="s">
        <v>5549</v>
      </c>
    </row>
    <row x14ac:dyDescent="0.25" r="1852" customHeight="1" ht="18.75">
      <c r="A1852" s="12" t="s">
        <v>5550</v>
      </c>
      <c r="B1852" s="9">
        <v>44750</v>
      </c>
      <c r="C1852" s="12" t="s">
        <v>13</v>
      </c>
      <c r="D1852" s="12" t="s">
        <v>5551</v>
      </c>
      <c r="E1852" s="12" t="s">
        <v>13</v>
      </c>
      <c r="F1852" s="12" t="s">
        <v>5552</v>
      </c>
    </row>
    <row x14ac:dyDescent="0.25" r="1853" customHeight="1" ht="18.75" hidden="1">
      <c r="A1853" s="12" t="s">
        <v>5553</v>
      </c>
      <c r="B1853" s="9">
        <v>44747</v>
      </c>
      <c r="C1853" s="12" t="s">
        <v>3</v>
      </c>
      <c r="D1853" s="12" t="s">
        <v>5554</v>
      </c>
      <c r="E1853" s="12" t="s">
        <v>3</v>
      </c>
      <c r="F1853" s="12" t="s">
        <v>5555</v>
      </c>
    </row>
    <row x14ac:dyDescent="0.25" r="1854" customHeight="1" ht="18.75">
      <c r="A1854" s="12" t="s">
        <v>5556</v>
      </c>
      <c r="B1854" s="9">
        <v>44743</v>
      </c>
      <c r="C1854" s="12" t="s">
        <v>13</v>
      </c>
      <c r="D1854" s="12" t="s">
        <v>5557</v>
      </c>
      <c r="E1854" s="12" t="s">
        <v>13</v>
      </c>
      <c r="F1854" s="12" t="s">
        <v>5558</v>
      </c>
    </row>
    <row x14ac:dyDescent="0.25" r="1855" customHeight="1" ht="18.75" hidden="1">
      <c r="A1855" s="12" t="s">
        <v>5559</v>
      </c>
      <c r="B1855" s="9">
        <v>44738</v>
      </c>
      <c r="C1855" s="12" t="s">
        <v>3</v>
      </c>
      <c r="D1855" s="12" t="s">
        <v>5560</v>
      </c>
      <c r="E1855" s="12" t="s">
        <v>3</v>
      </c>
      <c r="F1855" s="12" t="s">
        <v>5561</v>
      </c>
    </row>
    <row x14ac:dyDescent="0.25" r="1856" customHeight="1" ht="18.75">
      <c r="A1856" s="12" t="s">
        <v>5562</v>
      </c>
      <c r="B1856" s="9">
        <v>44736</v>
      </c>
      <c r="C1856" s="12" t="s">
        <v>13</v>
      </c>
      <c r="D1856" s="12" t="s">
        <v>5563</v>
      </c>
      <c r="E1856" s="12" t="s">
        <v>13</v>
      </c>
      <c r="F1856" s="12" t="s">
        <v>5564</v>
      </c>
    </row>
    <row x14ac:dyDescent="0.25" r="1857" customHeight="1" ht="18.75" hidden="1">
      <c r="A1857" s="12" t="s">
        <v>5565</v>
      </c>
      <c r="B1857" s="9">
        <v>44727</v>
      </c>
      <c r="C1857" s="12" t="s">
        <v>2</v>
      </c>
      <c r="D1857" s="12" t="s">
        <v>5566</v>
      </c>
      <c r="E1857" s="12" t="s">
        <v>2</v>
      </c>
      <c r="F1857" s="12" t="s">
        <v>5567</v>
      </c>
    </row>
    <row x14ac:dyDescent="0.25" r="1858" customHeight="1" ht="18.75" hidden="1">
      <c r="A1858" s="12" t="s">
        <v>5568</v>
      </c>
      <c r="B1858" s="9">
        <v>44721</v>
      </c>
      <c r="C1858" s="12" t="s">
        <v>3</v>
      </c>
      <c r="D1858" s="12" t="s">
        <v>5569</v>
      </c>
      <c r="E1858" s="12" t="s">
        <v>3</v>
      </c>
      <c r="F1858" s="12" t="s">
        <v>5570</v>
      </c>
    </row>
    <row x14ac:dyDescent="0.25" r="1859" customHeight="1" ht="18.75" hidden="1">
      <c r="A1859" s="12" t="s">
        <v>5571</v>
      </c>
      <c r="B1859" s="9">
        <v>44718</v>
      </c>
      <c r="C1859" s="12" t="s">
        <v>2</v>
      </c>
      <c r="D1859" s="12" t="s">
        <v>5572</v>
      </c>
      <c r="E1859" s="12" t="s">
        <v>2</v>
      </c>
      <c r="F1859" s="12" t="s">
        <v>5573</v>
      </c>
    </row>
    <row x14ac:dyDescent="0.25" r="1860" customHeight="1" ht="18.75" hidden="1">
      <c r="A1860" s="12" t="s">
        <v>5574</v>
      </c>
      <c r="B1860" s="9">
        <v>44718</v>
      </c>
      <c r="C1860" s="12" t="s">
        <v>2</v>
      </c>
      <c r="D1860" s="12" t="s">
        <v>5575</v>
      </c>
      <c r="E1860" s="12" t="s">
        <v>2</v>
      </c>
      <c r="F1860" s="12" t="s">
        <v>5576</v>
      </c>
    </row>
    <row x14ac:dyDescent="0.25" r="1861" customHeight="1" ht="18.75" hidden="1">
      <c r="A1861" s="12" t="s">
        <v>5577</v>
      </c>
      <c r="B1861" s="9">
        <v>44713</v>
      </c>
      <c r="C1861" s="12" t="s">
        <v>2</v>
      </c>
      <c r="D1861" s="12" t="s">
        <v>5578</v>
      </c>
      <c r="E1861" s="12" t="s">
        <v>2</v>
      </c>
      <c r="F1861" s="12" t="s">
        <v>5579</v>
      </c>
    </row>
    <row x14ac:dyDescent="0.25" r="1862" customHeight="1" ht="18.75" hidden="1">
      <c r="A1862" s="12" t="s">
        <v>5580</v>
      </c>
      <c r="B1862" s="9">
        <v>44712</v>
      </c>
      <c r="C1862" s="12" t="s">
        <v>3</v>
      </c>
      <c r="D1862" s="12" t="s">
        <v>5581</v>
      </c>
      <c r="E1862" s="12" t="s">
        <v>3</v>
      </c>
      <c r="F1862" s="12" t="s">
        <v>5582</v>
      </c>
    </row>
    <row x14ac:dyDescent="0.25" r="1863" customHeight="1" ht="18.75" hidden="1">
      <c r="A1863" s="12" t="s">
        <v>5583</v>
      </c>
      <c r="B1863" s="9">
        <v>44712</v>
      </c>
      <c r="C1863" s="12" t="s">
        <v>2</v>
      </c>
      <c r="D1863" s="12" t="s">
        <v>5584</v>
      </c>
      <c r="E1863" s="12" t="s">
        <v>2</v>
      </c>
      <c r="F1863" s="12" t="s">
        <v>5585</v>
      </c>
    </row>
    <row x14ac:dyDescent="0.25" r="1864" customHeight="1" ht="18.75" hidden="1">
      <c r="A1864" s="12" t="s">
        <v>5586</v>
      </c>
      <c r="B1864" s="9">
        <v>44711</v>
      </c>
      <c r="C1864" s="12" t="s">
        <v>2</v>
      </c>
      <c r="D1864" s="12" t="s">
        <v>5587</v>
      </c>
      <c r="E1864" s="12" t="s">
        <v>2</v>
      </c>
      <c r="F1864" s="12" t="s">
        <v>5588</v>
      </c>
    </row>
    <row x14ac:dyDescent="0.25" r="1865" customHeight="1" ht="18.75" hidden="1">
      <c r="A1865" s="12" t="s">
        <v>5589</v>
      </c>
      <c r="B1865" s="9">
        <v>44711</v>
      </c>
      <c r="C1865" s="12" t="s">
        <v>2</v>
      </c>
      <c r="D1865" s="12" t="s">
        <v>5590</v>
      </c>
      <c r="E1865" s="12" t="s">
        <v>2</v>
      </c>
      <c r="F1865" s="12" t="s">
        <v>5591</v>
      </c>
    </row>
    <row x14ac:dyDescent="0.25" r="1866" customHeight="1" ht="18.75" hidden="1">
      <c r="A1866" s="12" t="s">
        <v>5592</v>
      </c>
      <c r="B1866" s="9">
        <v>44699</v>
      </c>
      <c r="C1866" s="12" t="s">
        <v>3</v>
      </c>
      <c r="D1866" s="12" t="s">
        <v>5593</v>
      </c>
      <c r="E1866" s="12" t="s">
        <v>3</v>
      </c>
      <c r="F1866" s="12" t="s">
        <v>5594</v>
      </c>
    </row>
    <row x14ac:dyDescent="0.25" r="1867" customHeight="1" ht="18.75" hidden="1">
      <c r="A1867" s="12" t="s">
        <v>5595</v>
      </c>
      <c r="B1867" s="9">
        <v>44699</v>
      </c>
      <c r="C1867" s="12" t="s">
        <v>3</v>
      </c>
      <c r="D1867" s="12" t="s">
        <v>5596</v>
      </c>
      <c r="E1867" s="12" t="s">
        <v>3</v>
      </c>
      <c r="F1867" s="12" t="s">
        <v>5597</v>
      </c>
    </row>
    <row x14ac:dyDescent="0.25" r="1868" customHeight="1" ht="18.75">
      <c r="A1868" s="12" t="s">
        <v>5598</v>
      </c>
      <c r="B1868" s="9">
        <v>44698</v>
      </c>
      <c r="C1868" s="12" t="s">
        <v>13</v>
      </c>
      <c r="D1868" s="12" t="s">
        <v>5599</v>
      </c>
      <c r="E1868" s="12" t="s">
        <v>13</v>
      </c>
      <c r="F1868" s="12" t="s">
        <v>5600</v>
      </c>
    </row>
    <row x14ac:dyDescent="0.25" r="1869" customHeight="1" ht="18.75" hidden="1">
      <c r="A1869" s="12" t="s">
        <v>5601</v>
      </c>
      <c r="B1869" s="9">
        <v>44692</v>
      </c>
      <c r="C1869" s="12" t="s">
        <v>2</v>
      </c>
      <c r="D1869" s="12" t="s">
        <v>5602</v>
      </c>
      <c r="E1869" s="12" t="s">
        <v>2</v>
      </c>
      <c r="F1869" s="12" t="s">
        <v>5603</v>
      </c>
    </row>
    <row x14ac:dyDescent="0.25" r="1870" customHeight="1" ht="18.75" hidden="1">
      <c r="A1870" s="12" t="s">
        <v>5604</v>
      </c>
      <c r="B1870" s="9">
        <v>44676</v>
      </c>
      <c r="C1870" s="12" t="s">
        <v>2</v>
      </c>
      <c r="D1870" s="12" t="s">
        <v>5605</v>
      </c>
      <c r="E1870" s="12" t="s">
        <v>2</v>
      </c>
      <c r="F1870" s="12" t="s">
        <v>5606</v>
      </c>
    </row>
    <row x14ac:dyDescent="0.25" r="1871" customHeight="1" ht="18.75" hidden="1">
      <c r="A1871" s="12" t="s">
        <v>5607</v>
      </c>
      <c r="B1871" s="9">
        <v>44664</v>
      </c>
      <c r="C1871" s="12" t="s">
        <v>3</v>
      </c>
      <c r="D1871" s="12" t="s">
        <v>5608</v>
      </c>
      <c r="E1871" s="12" t="s">
        <v>3</v>
      </c>
      <c r="F1871" s="12" t="s">
        <v>5609</v>
      </c>
    </row>
    <row x14ac:dyDescent="0.25" r="1872" customHeight="1" ht="18.75" hidden="1">
      <c r="A1872" s="12" t="s">
        <v>5610</v>
      </c>
      <c r="B1872" s="9">
        <v>44664</v>
      </c>
      <c r="C1872" s="12" t="s">
        <v>2</v>
      </c>
      <c r="D1872" s="12" t="s">
        <v>5611</v>
      </c>
      <c r="E1872" s="12" t="s">
        <v>2</v>
      </c>
      <c r="F1872" s="12" t="s">
        <v>5612</v>
      </c>
    </row>
    <row x14ac:dyDescent="0.25" r="1873" customHeight="1" ht="18.75">
      <c r="A1873" s="12" t="s">
        <v>5613</v>
      </c>
      <c r="B1873" s="9">
        <v>44654</v>
      </c>
      <c r="C1873" s="12" t="s">
        <v>13</v>
      </c>
      <c r="D1873" s="12" t="s">
        <v>5614</v>
      </c>
      <c r="E1873" s="12" t="s">
        <v>13</v>
      </c>
      <c r="F1873" s="12" t="s">
        <v>5615</v>
      </c>
    </row>
    <row x14ac:dyDescent="0.25" r="1874" customHeight="1" ht="18.75" hidden="1">
      <c r="A1874" s="12" t="s">
        <v>5616</v>
      </c>
      <c r="B1874" s="9">
        <v>44637</v>
      </c>
      <c r="C1874" s="12" t="s">
        <v>2</v>
      </c>
      <c r="D1874" s="12" t="s">
        <v>5617</v>
      </c>
      <c r="E1874" s="12" t="s">
        <v>2</v>
      </c>
      <c r="F1874" s="12" t="s">
        <v>5618</v>
      </c>
    </row>
    <row x14ac:dyDescent="0.25" r="1875" customHeight="1" ht="18.75" hidden="1">
      <c r="A1875" s="12" t="s">
        <v>5619</v>
      </c>
      <c r="B1875" s="9">
        <v>44635</v>
      </c>
      <c r="C1875" s="12" t="s">
        <v>3</v>
      </c>
      <c r="D1875" s="12" t="s">
        <v>5620</v>
      </c>
      <c r="E1875" s="12" t="s">
        <v>2</v>
      </c>
      <c r="F1875" s="12" t="s">
        <v>5621</v>
      </c>
    </row>
    <row x14ac:dyDescent="0.25" r="1876" customHeight="1" ht="18.75" hidden="1">
      <c r="A1876" s="12" t="s">
        <v>5622</v>
      </c>
      <c r="B1876" s="9">
        <v>44633</v>
      </c>
      <c r="C1876" s="12" t="s">
        <v>3</v>
      </c>
      <c r="D1876" s="12" t="s">
        <v>5623</v>
      </c>
      <c r="E1876" s="12" t="s">
        <v>3</v>
      </c>
      <c r="F1876" s="12" t="s">
        <v>5624</v>
      </c>
    </row>
    <row x14ac:dyDescent="0.25" r="1877" customHeight="1" ht="18.75" hidden="1">
      <c r="A1877" s="12" t="s">
        <v>5625</v>
      </c>
      <c r="B1877" s="9">
        <v>44629</v>
      </c>
      <c r="C1877" s="12" t="s">
        <v>3</v>
      </c>
      <c r="D1877" s="12" t="s">
        <v>5626</v>
      </c>
      <c r="E1877" s="12" t="s">
        <v>2</v>
      </c>
      <c r="F1877" s="12" t="s">
        <v>5627</v>
      </c>
    </row>
    <row x14ac:dyDescent="0.25" r="1878" customHeight="1" ht="18.75">
      <c r="A1878" s="12" t="s">
        <v>5628</v>
      </c>
      <c r="B1878" s="9">
        <v>44629</v>
      </c>
      <c r="C1878" s="12" t="s">
        <v>13</v>
      </c>
      <c r="D1878" s="12" t="s">
        <v>5629</v>
      </c>
      <c r="E1878" s="12" t="s">
        <v>13</v>
      </c>
      <c r="F1878" s="12" t="s">
        <v>5630</v>
      </c>
    </row>
    <row x14ac:dyDescent="0.25" r="1879" customHeight="1" ht="18.75" hidden="1">
      <c r="A1879" s="12" t="s">
        <v>5631</v>
      </c>
      <c r="B1879" s="9">
        <v>44629</v>
      </c>
      <c r="C1879" s="12" t="s">
        <v>3</v>
      </c>
      <c r="D1879" s="12" t="s">
        <v>5632</v>
      </c>
      <c r="E1879" s="12" t="s">
        <v>3</v>
      </c>
      <c r="F1879" s="12" t="s">
        <v>5633</v>
      </c>
    </row>
    <row x14ac:dyDescent="0.25" r="1880" customHeight="1" ht="18.75" hidden="1">
      <c r="A1880" s="12" t="s">
        <v>5634</v>
      </c>
      <c r="B1880" s="9">
        <v>44628</v>
      </c>
      <c r="C1880" s="12" t="s">
        <v>2</v>
      </c>
      <c r="D1880" s="12" t="s">
        <v>5635</v>
      </c>
      <c r="E1880" s="12" t="s">
        <v>2</v>
      </c>
      <c r="F1880" s="12" t="s">
        <v>5636</v>
      </c>
    </row>
    <row x14ac:dyDescent="0.25" r="1881" customHeight="1" ht="18.75" hidden="1">
      <c r="A1881" s="12" t="s">
        <v>5637</v>
      </c>
      <c r="B1881" s="9">
        <v>44627</v>
      </c>
      <c r="C1881" s="12" t="s">
        <v>2</v>
      </c>
      <c r="D1881" s="12" t="s">
        <v>5638</v>
      </c>
      <c r="E1881" s="12" t="s">
        <v>2</v>
      </c>
      <c r="F1881" s="12" t="s">
        <v>5639</v>
      </c>
    </row>
    <row x14ac:dyDescent="0.25" r="1882" customHeight="1" ht="18.75" hidden="1">
      <c r="A1882" s="12" t="s">
        <v>5640</v>
      </c>
      <c r="B1882" s="9">
        <v>44626</v>
      </c>
      <c r="C1882" s="12" t="s">
        <v>2</v>
      </c>
      <c r="D1882" s="12" t="s">
        <v>5641</v>
      </c>
      <c r="E1882" s="12" t="s">
        <v>2</v>
      </c>
      <c r="F1882" s="12" t="s">
        <v>5642</v>
      </c>
    </row>
    <row x14ac:dyDescent="0.25" r="1883" customHeight="1" ht="18.75">
      <c r="A1883" s="12" t="s">
        <v>5643</v>
      </c>
      <c r="B1883" s="9">
        <v>44626</v>
      </c>
      <c r="C1883" s="12" t="s">
        <v>13</v>
      </c>
      <c r="D1883" s="12" t="s">
        <v>5644</v>
      </c>
      <c r="E1883" s="12" t="s">
        <v>13</v>
      </c>
      <c r="F1883" s="12" t="s">
        <v>5645</v>
      </c>
    </row>
    <row x14ac:dyDescent="0.25" r="1884" customHeight="1" ht="18.75" hidden="1">
      <c r="A1884" s="12" t="s">
        <v>5646</v>
      </c>
      <c r="B1884" s="9">
        <v>44624</v>
      </c>
      <c r="C1884" s="12" t="s">
        <v>3</v>
      </c>
      <c r="D1884" s="12" t="s">
        <v>5647</v>
      </c>
      <c r="E1884" s="12" t="s">
        <v>2</v>
      </c>
      <c r="F1884" s="12" t="s">
        <v>5648</v>
      </c>
    </row>
    <row x14ac:dyDescent="0.25" r="1885" customHeight="1" ht="18.75" hidden="1">
      <c r="A1885" s="12" t="s">
        <v>5649</v>
      </c>
      <c r="B1885" s="9">
        <v>44624</v>
      </c>
      <c r="C1885" s="12" t="s">
        <v>3</v>
      </c>
      <c r="D1885" s="12" t="s">
        <v>5650</v>
      </c>
      <c r="E1885" s="12" t="s">
        <v>3</v>
      </c>
      <c r="F1885" s="12" t="s">
        <v>5651</v>
      </c>
    </row>
    <row x14ac:dyDescent="0.25" r="1886" customHeight="1" ht="18.75" hidden="1">
      <c r="A1886" s="12" t="s">
        <v>5652</v>
      </c>
      <c r="B1886" s="9">
        <v>44624</v>
      </c>
      <c r="C1886" s="12" t="s">
        <v>2</v>
      </c>
      <c r="D1886" s="12" t="s">
        <v>5653</v>
      </c>
      <c r="E1886" s="12" t="s">
        <v>2</v>
      </c>
      <c r="F1886" s="12" t="s">
        <v>5654</v>
      </c>
    </row>
    <row x14ac:dyDescent="0.25" r="1887" customHeight="1" ht="18.75">
      <c r="A1887" s="12" t="s">
        <v>5655</v>
      </c>
      <c r="B1887" s="9">
        <v>44624</v>
      </c>
      <c r="C1887" s="12" t="s">
        <v>13</v>
      </c>
      <c r="D1887" s="12" t="s">
        <v>5656</v>
      </c>
      <c r="E1887" s="12" t="s">
        <v>13</v>
      </c>
      <c r="F1887" s="12" t="s">
        <v>5657</v>
      </c>
    </row>
    <row x14ac:dyDescent="0.25" r="1888" customHeight="1" ht="18.75" hidden="1">
      <c r="A1888" s="12" t="s">
        <v>5658</v>
      </c>
      <c r="B1888" s="9">
        <v>44622</v>
      </c>
      <c r="C1888" s="12" t="s">
        <v>2</v>
      </c>
      <c r="D1888" s="12" t="s">
        <v>5659</v>
      </c>
      <c r="E1888" s="12" t="s">
        <v>2</v>
      </c>
      <c r="F1888" s="12" t="s">
        <v>5660</v>
      </c>
    </row>
    <row x14ac:dyDescent="0.25" r="1889" customHeight="1" ht="18.75" hidden="1">
      <c r="A1889" s="12" t="s">
        <v>5661</v>
      </c>
      <c r="B1889" s="9">
        <v>44621</v>
      </c>
      <c r="C1889" s="12" t="s">
        <v>2</v>
      </c>
      <c r="D1889" s="12" t="s">
        <v>5662</v>
      </c>
      <c r="E1889" s="12" t="s">
        <v>2</v>
      </c>
      <c r="F1889" s="12" t="s">
        <v>5663</v>
      </c>
    </row>
    <row x14ac:dyDescent="0.25" r="1890" customHeight="1" ht="18.75" hidden="1">
      <c r="A1890" s="12" t="s">
        <v>5664</v>
      </c>
      <c r="B1890" s="9">
        <v>44621</v>
      </c>
      <c r="C1890" s="12" t="s">
        <v>2</v>
      </c>
      <c r="D1890" s="12" t="s">
        <v>5665</v>
      </c>
      <c r="E1890" s="12" t="s">
        <v>2</v>
      </c>
      <c r="F1890" s="12" t="s">
        <v>5666</v>
      </c>
    </row>
    <row x14ac:dyDescent="0.25" r="1891" customHeight="1" ht="18.75" hidden="1">
      <c r="A1891" s="12" t="s">
        <v>5667</v>
      </c>
      <c r="B1891" s="9">
        <v>44617</v>
      </c>
      <c r="C1891" s="12" t="s">
        <v>3</v>
      </c>
      <c r="D1891" s="12" t="s">
        <v>5668</v>
      </c>
      <c r="E1891" s="12" t="s">
        <v>3</v>
      </c>
      <c r="F1891" s="12" t="s">
        <v>5669</v>
      </c>
    </row>
    <row x14ac:dyDescent="0.25" r="1892" customHeight="1" ht="18.75" hidden="1">
      <c r="A1892" s="12" t="s">
        <v>5670</v>
      </c>
      <c r="B1892" s="9">
        <v>44616</v>
      </c>
      <c r="C1892" s="12" t="s">
        <v>2</v>
      </c>
      <c r="D1892" s="12" t="s">
        <v>5671</v>
      </c>
      <c r="E1892" s="12" t="s">
        <v>2</v>
      </c>
      <c r="F1892" s="12" t="s">
        <v>5672</v>
      </c>
    </row>
    <row x14ac:dyDescent="0.25" r="1893" customHeight="1" ht="18.75" hidden="1">
      <c r="A1893" s="12" t="s">
        <v>5673</v>
      </c>
      <c r="B1893" s="9">
        <v>44616</v>
      </c>
      <c r="C1893" s="12" t="s">
        <v>2</v>
      </c>
      <c r="D1893" s="12" t="s">
        <v>5674</v>
      </c>
      <c r="E1893" s="12" t="s">
        <v>2</v>
      </c>
      <c r="F1893" s="12" t="s">
        <v>5675</v>
      </c>
    </row>
    <row x14ac:dyDescent="0.25" r="1894" customHeight="1" ht="18.75" hidden="1">
      <c r="A1894" s="12" t="s">
        <v>5676</v>
      </c>
      <c r="B1894" s="9">
        <v>44614</v>
      </c>
      <c r="C1894" s="12" t="s">
        <v>3</v>
      </c>
      <c r="D1894" s="12" t="s">
        <v>5677</v>
      </c>
      <c r="E1894" s="12" t="s">
        <v>3</v>
      </c>
      <c r="F1894" s="12" t="s">
        <v>5678</v>
      </c>
    </row>
    <row x14ac:dyDescent="0.25" r="1895" customHeight="1" ht="18.75" hidden="1">
      <c r="A1895" s="12" t="s">
        <v>5679</v>
      </c>
      <c r="B1895" s="9">
        <v>44613</v>
      </c>
      <c r="C1895" s="12" t="s">
        <v>2</v>
      </c>
      <c r="D1895" s="12" t="s">
        <v>5680</v>
      </c>
      <c r="E1895" s="12" t="s">
        <v>2</v>
      </c>
      <c r="F1895" s="12" t="s">
        <v>5681</v>
      </c>
    </row>
    <row x14ac:dyDescent="0.25" r="1896" customHeight="1" ht="18.75" hidden="1">
      <c r="A1896" s="12" t="s">
        <v>5682</v>
      </c>
      <c r="B1896" s="9">
        <v>44609</v>
      </c>
      <c r="C1896" s="12" t="s">
        <v>2</v>
      </c>
      <c r="D1896" s="12" t="s">
        <v>5683</v>
      </c>
      <c r="E1896" s="12" t="s">
        <v>2</v>
      </c>
      <c r="F1896" s="12" t="s">
        <v>5684</v>
      </c>
    </row>
    <row x14ac:dyDescent="0.25" r="1897" customHeight="1" ht="18.75" hidden="1">
      <c r="A1897" s="12" t="s">
        <v>5685</v>
      </c>
      <c r="B1897" s="9">
        <v>44606</v>
      </c>
      <c r="C1897" s="12" t="s">
        <v>2</v>
      </c>
      <c r="D1897" s="12" t="s">
        <v>5686</v>
      </c>
      <c r="E1897" s="12" t="s">
        <v>2</v>
      </c>
      <c r="F1897" s="12" t="s">
        <v>5687</v>
      </c>
    </row>
    <row x14ac:dyDescent="0.25" r="1898" customHeight="1" ht="18.75" hidden="1">
      <c r="A1898" s="12" t="s">
        <v>5688</v>
      </c>
      <c r="B1898" s="9">
        <v>44606</v>
      </c>
      <c r="C1898" s="12" t="s">
        <v>3</v>
      </c>
      <c r="D1898" s="12" t="s">
        <v>5689</v>
      </c>
      <c r="E1898" s="12" t="s">
        <v>3</v>
      </c>
      <c r="F1898" s="12" t="s">
        <v>5690</v>
      </c>
    </row>
    <row x14ac:dyDescent="0.25" r="1899" customHeight="1" ht="18.75" hidden="1">
      <c r="A1899" s="12" t="s">
        <v>5691</v>
      </c>
      <c r="B1899" s="9">
        <v>44606</v>
      </c>
      <c r="C1899" s="12" t="s">
        <v>3</v>
      </c>
      <c r="D1899" s="12" t="s">
        <v>5692</v>
      </c>
      <c r="E1899" s="12" t="s">
        <v>3</v>
      </c>
      <c r="F1899" s="12" t="s">
        <v>5693</v>
      </c>
    </row>
    <row x14ac:dyDescent="0.25" r="1900" customHeight="1" ht="18.75" hidden="1">
      <c r="A1900" s="12" t="s">
        <v>5694</v>
      </c>
      <c r="B1900" s="9">
        <v>44597</v>
      </c>
      <c r="C1900" s="12" t="s">
        <v>2</v>
      </c>
      <c r="D1900" s="12" t="s">
        <v>5695</v>
      </c>
      <c r="E1900" s="12" t="s">
        <v>2</v>
      </c>
      <c r="F1900" s="12" t="s">
        <v>5696</v>
      </c>
    </row>
    <row x14ac:dyDescent="0.25" r="1901" customHeight="1" ht="18.75" hidden="1">
      <c r="A1901" s="12" t="s">
        <v>5697</v>
      </c>
      <c r="B1901" s="9">
        <v>44593</v>
      </c>
      <c r="C1901" s="12" t="s">
        <v>2</v>
      </c>
      <c r="D1901" s="12" t="s">
        <v>5698</v>
      </c>
      <c r="E1901" s="12" t="s">
        <v>2</v>
      </c>
      <c r="F1901" s="12" t="s">
        <v>5699</v>
      </c>
    </row>
    <row x14ac:dyDescent="0.25" r="1902" customHeight="1" ht="18.75" hidden="1">
      <c r="A1902" s="12" t="s">
        <v>5700</v>
      </c>
      <c r="B1902" s="9">
        <v>44589</v>
      </c>
      <c r="C1902" s="12" t="s">
        <v>2</v>
      </c>
      <c r="D1902" s="12" t="s">
        <v>5701</v>
      </c>
      <c r="E1902" s="12" t="s">
        <v>2</v>
      </c>
      <c r="F1902" s="12" t="s">
        <v>5702</v>
      </c>
    </row>
    <row x14ac:dyDescent="0.25" r="1903" customHeight="1" ht="18.75" hidden="1">
      <c r="A1903" s="12" t="s">
        <v>5703</v>
      </c>
      <c r="B1903" s="9">
        <v>44588</v>
      </c>
      <c r="C1903" s="12" t="s">
        <v>3</v>
      </c>
      <c r="D1903" s="12" t="s">
        <v>5704</v>
      </c>
      <c r="E1903" s="12" t="s">
        <v>3</v>
      </c>
      <c r="F1903" s="12" t="s">
        <v>5705</v>
      </c>
    </row>
    <row x14ac:dyDescent="0.25" r="1904" customHeight="1" ht="18.75" hidden="1">
      <c r="A1904" s="12" t="s">
        <v>5706</v>
      </c>
      <c r="B1904" s="9">
        <v>44588</v>
      </c>
      <c r="C1904" s="12" t="s">
        <v>2</v>
      </c>
      <c r="D1904" s="12" t="s">
        <v>5707</v>
      </c>
      <c r="E1904" s="12" t="s">
        <v>2</v>
      </c>
      <c r="F1904" s="12" t="s">
        <v>5708</v>
      </c>
    </row>
    <row x14ac:dyDescent="0.25" r="1905" customHeight="1" ht="18.75" hidden="1">
      <c r="A1905" s="12" t="s">
        <v>5709</v>
      </c>
      <c r="B1905" s="9">
        <v>44587</v>
      </c>
      <c r="C1905" s="12" t="s">
        <v>2</v>
      </c>
      <c r="D1905" s="12" t="s">
        <v>5710</v>
      </c>
      <c r="E1905" s="12" t="s">
        <v>2</v>
      </c>
      <c r="F1905" s="12" t="s">
        <v>5711</v>
      </c>
    </row>
    <row x14ac:dyDescent="0.25" r="1906" customHeight="1" ht="18.75">
      <c r="A1906" s="12" t="s">
        <v>5712</v>
      </c>
      <c r="B1906" s="9">
        <v>44585</v>
      </c>
      <c r="C1906" s="12" t="s">
        <v>13</v>
      </c>
      <c r="D1906" s="12" t="s">
        <v>5713</v>
      </c>
      <c r="E1906" s="12" t="s">
        <v>13</v>
      </c>
      <c r="F1906" s="12" t="s">
        <v>5714</v>
      </c>
    </row>
    <row x14ac:dyDescent="0.25" r="1907" customHeight="1" ht="18.75" hidden="1">
      <c r="A1907" s="12" t="s">
        <v>5715</v>
      </c>
      <c r="B1907" s="9">
        <v>44572</v>
      </c>
      <c r="C1907" s="12" t="s">
        <v>2</v>
      </c>
      <c r="D1907" s="12" t="s">
        <v>5716</v>
      </c>
      <c r="E1907" s="12" t="s">
        <v>2</v>
      </c>
      <c r="F1907" s="12" t="s">
        <v>5717</v>
      </c>
    </row>
    <row x14ac:dyDescent="0.25" r="1908" customHeight="1" ht="18.75">
      <c r="A1908" s="12" t="s">
        <v>5718</v>
      </c>
      <c r="B1908" s="9">
        <v>44572</v>
      </c>
      <c r="C1908" s="12" t="s">
        <v>13</v>
      </c>
      <c r="D1908" s="12" t="s">
        <v>5719</v>
      </c>
      <c r="E1908" s="12" t="s">
        <v>13</v>
      </c>
      <c r="F1908" s="12" t="s">
        <v>5720</v>
      </c>
    </row>
    <row x14ac:dyDescent="0.25" r="1909" customHeight="1" ht="18.75" hidden="1">
      <c r="A1909" s="12" t="s">
        <v>5721</v>
      </c>
      <c r="B1909" s="9">
        <v>44566</v>
      </c>
      <c r="C1909" s="12" t="s">
        <v>2</v>
      </c>
      <c r="D1909" s="12" t="s">
        <v>5722</v>
      </c>
      <c r="E1909" s="12" t="s">
        <v>2</v>
      </c>
      <c r="F1909" s="12" t="s">
        <v>5723</v>
      </c>
    </row>
    <row x14ac:dyDescent="0.25" r="1910" customHeight="1" ht="18.75">
      <c r="A1910" s="12" t="s">
        <v>5724</v>
      </c>
      <c r="B1910" s="9">
        <v>44535</v>
      </c>
      <c r="C1910" s="12" t="s">
        <v>13</v>
      </c>
      <c r="D1910" s="12" t="s">
        <v>5725</v>
      </c>
      <c r="E1910" s="12" t="s">
        <v>13</v>
      </c>
      <c r="F1910" s="12" t="s">
        <v>5726</v>
      </c>
    </row>
    <row x14ac:dyDescent="0.25" r="1911" customHeight="1" ht="18.75" hidden="1">
      <c r="A1911" s="12" t="s">
        <v>5727</v>
      </c>
      <c r="B1911" s="9">
        <v>44523</v>
      </c>
      <c r="C1911" s="12" t="s">
        <v>3</v>
      </c>
      <c r="D1911" s="12" t="s">
        <v>5728</v>
      </c>
      <c r="E1911" s="12" t="s">
        <v>3</v>
      </c>
      <c r="F1911" s="12" t="s">
        <v>5729</v>
      </c>
    </row>
    <row x14ac:dyDescent="0.25" r="1912" customHeight="1" ht="18.75">
      <c r="A1912" s="12" t="s">
        <v>5730</v>
      </c>
      <c r="B1912" s="9">
        <v>44519</v>
      </c>
      <c r="C1912" s="12" t="s">
        <v>101</v>
      </c>
      <c r="D1912" s="12" t="s">
        <v>5731</v>
      </c>
      <c r="E1912" s="12" t="s">
        <v>13</v>
      </c>
      <c r="F1912" s="12" t="s">
        <v>5732</v>
      </c>
    </row>
    <row x14ac:dyDescent="0.25" r="1913" customHeight="1" ht="18.75" hidden="1">
      <c r="A1913" s="12" t="s">
        <v>5733</v>
      </c>
      <c r="B1913" s="9">
        <v>44519</v>
      </c>
      <c r="C1913" s="12" t="s">
        <v>3</v>
      </c>
      <c r="D1913" s="12" t="s">
        <v>5734</v>
      </c>
      <c r="E1913" s="12" t="s">
        <v>3</v>
      </c>
      <c r="F1913" s="12" t="s">
        <v>5735</v>
      </c>
    </row>
    <row x14ac:dyDescent="0.25" r="1914" customHeight="1" ht="18.75">
      <c r="A1914" s="12" t="s">
        <v>5736</v>
      </c>
      <c r="B1914" s="9">
        <v>44516</v>
      </c>
      <c r="C1914" s="12" t="s">
        <v>13</v>
      </c>
      <c r="D1914" s="12" t="s">
        <v>5737</v>
      </c>
      <c r="E1914" s="12" t="s">
        <v>13</v>
      </c>
      <c r="F1914" s="12" t="s">
        <v>5738</v>
      </c>
    </row>
    <row x14ac:dyDescent="0.25" r="1915" customHeight="1" ht="18.75" hidden="1">
      <c r="A1915" s="12" t="s">
        <v>5739</v>
      </c>
      <c r="B1915" s="9">
        <v>44504</v>
      </c>
      <c r="C1915" s="12" t="s">
        <v>3</v>
      </c>
      <c r="D1915" s="12" t="s">
        <v>5740</v>
      </c>
      <c r="E1915" s="12" t="s">
        <v>3</v>
      </c>
      <c r="F1915" s="12" t="s">
        <v>5741</v>
      </c>
    </row>
    <row x14ac:dyDescent="0.25" r="1916" customHeight="1" ht="18.75">
      <c r="A1916" s="12" t="s">
        <v>5742</v>
      </c>
      <c r="B1916" s="9">
        <v>44502</v>
      </c>
      <c r="C1916" s="12" t="s">
        <v>13</v>
      </c>
      <c r="D1916" s="12" t="s">
        <v>5743</v>
      </c>
      <c r="E1916" s="12" t="s">
        <v>13</v>
      </c>
      <c r="F1916" s="12" t="s">
        <v>5744</v>
      </c>
    </row>
    <row x14ac:dyDescent="0.25" r="1917" customHeight="1" ht="18.75">
      <c r="A1917" s="12" t="s">
        <v>5745</v>
      </c>
      <c r="B1917" s="9">
        <v>44496</v>
      </c>
      <c r="C1917" s="12" t="s">
        <v>13</v>
      </c>
      <c r="D1917" s="12" t="s">
        <v>5746</v>
      </c>
      <c r="E1917" s="12" t="s">
        <v>13</v>
      </c>
      <c r="F1917" s="12" t="s">
        <v>5747</v>
      </c>
    </row>
    <row x14ac:dyDescent="0.25" r="1918" customHeight="1" ht="18.75" hidden="1">
      <c r="A1918" s="12" t="s">
        <v>5748</v>
      </c>
      <c r="B1918" s="9">
        <v>44491</v>
      </c>
      <c r="C1918" s="12" t="s">
        <v>2</v>
      </c>
      <c r="D1918" s="12" t="s">
        <v>5749</v>
      </c>
      <c r="E1918" s="12" t="s">
        <v>2</v>
      </c>
      <c r="F1918" s="12" t="s">
        <v>5750</v>
      </c>
    </row>
    <row x14ac:dyDescent="0.25" r="1919" customHeight="1" ht="18.75" hidden="1">
      <c r="A1919" s="12" t="s">
        <v>5751</v>
      </c>
      <c r="B1919" s="9">
        <v>44488</v>
      </c>
      <c r="C1919" s="12" t="s">
        <v>2</v>
      </c>
      <c r="D1919" s="12" t="s">
        <v>5752</v>
      </c>
      <c r="E1919" s="12" t="s">
        <v>2</v>
      </c>
      <c r="F1919" s="12" t="s">
        <v>5753</v>
      </c>
    </row>
    <row x14ac:dyDescent="0.25" r="1920" customHeight="1" ht="18.75" hidden="1">
      <c r="A1920" s="12" t="s">
        <v>5754</v>
      </c>
      <c r="B1920" s="9">
        <v>44484</v>
      </c>
      <c r="C1920" s="12" t="s">
        <v>2</v>
      </c>
      <c r="D1920" s="12" t="s">
        <v>5755</v>
      </c>
      <c r="E1920" s="12" t="s">
        <v>2</v>
      </c>
      <c r="F1920" s="12" t="s">
        <v>5756</v>
      </c>
    </row>
    <row x14ac:dyDescent="0.25" r="1921" customHeight="1" ht="18.75" hidden="1">
      <c r="A1921" s="12" t="s">
        <v>5757</v>
      </c>
      <c r="B1921" s="9">
        <v>44476</v>
      </c>
      <c r="C1921" s="12" t="s">
        <v>2</v>
      </c>
      <c r="D1921" s="12" t="s">
        <v>5758</v>
      </c>
      <c r="E1921" s="12" t="s">
        <v>2</v>
      </c>
      <c r="F1921" s="12" t="s">
        <v>5759</v>
      </c>
    </row>
    <row x14ac:dyDescent="0.25" r="1922" customHeight="1" ht="18.75" hidden="1">
      <c r="A1922" s="12" t="s">
        <v>5760</v>
      </c>
      <c r="B1922" s="9">
        <v>44473</v>
      </c>
      <c r="C1922" s="12" t="s">
        <v>2</v>
      </c>
      <c r="D1922" s="12" t="s">
        <v>5761</v>
      </c>
      <c r="E1922" s="12" t="s">
        <v>2</v>
      </c>
      <c r="F1922" s="12" t="s">
        <v>5762</v>
      </c>
    </row>
    <row x14ac:dyDescent="0.25" r="1923" customHeight="1" ht="18.75" hidden="1">
      <c r="A1923" s="12" t="s">
        <v>5763</v>
      </c>
      <c r="B1923" s="9">
        <v>44472</v>
      </c>
      <c r="C1923" s="12" t="s">
        <v>2</v>
      </c>
      <c r="D1923" s="12" t="s">
        <v>5764</v>
      </c>
      <c r="E1923" s="12" t="s">
        <v>2</v>
      </c>
      <c r="F1923" s="12" t="s">
        <v>5765</v>
      </c>
    </row>
    <row x14ac:dyDescent="0.25" r="1924" customHeight="1" ht="18.75" hidden="1">
      <c r="A1924" s="12" t="s">
        <v>5766</v>
      </c>
      <c r="B1924" s="9">
        <v>44467</v>
      </c>
      <c r="C1924" s="12" t="s">
        <v>3</v>
      </c>
      <c r="D1924" s="12" t="s">
        <v>5767</v>
      </c>
      <c r="E1924" s="12" t="s">
        <v>3</v>
      </c>
      <c r="F1924" s="12" t="s">
        <v>5768</v>
      </c>
    </row>
    <row x14ac:dyDescent="0.25" r="1925" customHeight="1" ht="18.75" hidden="1">
      <c r="A1925" s="12" t="s">
        <v>5769</v>
      </c>
      <c r="B1925" s="9">
        <v>44467</v>
      </c>
      <c r="C1925" s="12" t="s">
        <v>3</v>
      </c>
      <c r="D1925" s="12" t="s">
        <v>5770</v>
      </c>
      <c r="E1925" s="12" t="s">
        <v>3</v>
      </c>
      <c r="F1925" s="12" t="s">
        <v>5771</v>
      </c>
    </row>
    <row x14ac:dyDescent="0.25" r="1926" customHeight="1" ht="18.75" hidden="1">
      <c r="A1926" s="12" t="s">
        <v>5772</v>
      </c>
      <c r="B1926" s="9">
        <v>44466</v>
      </c>
      <c r="C1926" s="12" t="s">
        <v>2</v>
      </c>
      <c r="D1926" s="12" t="s">
        <v>5773</v>
      </c>
      <c r="E1926" s="12" t="s">
        <v>2</v>
      </c>
      <c r="F1926" s="12" t="s">
        <v>5774</v>
      </c>
    </row>
    <row x14ac:dyDescent="0.25" r="1927" customHeight="1" ht="18.75" hidden="1">
      <c r="A1927" s="12" t="s">
        <v>5775</v>
      </c>
      <c r="B1927" s="9">
        <v>44466</v>
      </c>
      <c r="C1927" s="12" t="s">
        <v>2</v>
      </c>
      <c r="D1927" s="12" t="s">
        <v>5776</v>
      </c>
      <c r="E1927" s="12" t="s">
        <v>2</v>
      </c>
      <c r="F1927" s="12" t="s">
        <v>5777</v>
      </c>
    </row>
    <row x14ac:dyDescent="0.25" r="1928" customHeight="1" ht="18.75" hidden="1">
      <c r="A1928" s="12" t="s">
        <v>5778</v>
      </c>
      <c r="B1928" s="9">
        <v>44466</v>
      </c>
      <c r="C1928" s="12" t="s">
        <v>2</v>
      </c>
      <c r="D1928" s="12" t="s">
        <v>5779</v>
      </c>
      <c r="E1928" s="12" t="s">
        <v>2</v>
      </c>
      <c r="F1928" s="12" t="s">
        <v>5780</v>
      </c>
    </row>
    <row x14ac:dyDescent="0.25" r="1929" customHeight="1" ht="18.75">
      <c r="A1929" s="12" t="s">
        <v>5781</v>
      </c>
      <c r="B1929" s="9">
        <v>44460</v>
      </c>
      <c r="C1929" s="12" t="s">
        <v>13</v>
      </c>
      <c r="D1929" s="12" t="s">
        <v>5782</v>
      </c>
      <c r="E1929" s="12" t="s">
        <v>13</v>
      </c>
      <c r="F1929" s="12" t="s">
        <v>5783</v>
      </c>
    </row>
    <row x14ac:dyDescent="0.25" r="1930" customHeight="1" ht="18.75" hidden="1">
      <c r="A1930" s="12" t="s">
        <v>5784</v>
      </c>
      <c r="B1930" s="9">
        <v>44454</v>
      </c>
      <c r="C1930" s="12" t="s">
        <v>2</v>
      </c>
      <c r="D1930" s="12" t="s">
        <v>5785</v>
      </c>
      <c r="E1930" s="12" t="s">
        <v>2</v>
      </c>
      <c r="F1930" s="12" t="s">
        <v>5786</v>
      </c>
    </row>
    <row x14ac:dyDescent="0.25" r="1931" customHeight="1" ht="18.75" hidden="1">
      <c r="A1931" s="12" t="s">
        <v>5787</v>
      </c>
      <c r="B1931" s="9">
        <v>44446</v>
      </c>
      <c r="C1931" s="12" t="s">
        <v>2</v>
      </c>
      <c r="D1931" s="12" t="s">
        <v>5788</v>
      </c>
      <c r="E1931" s="12" t="s">
        <v>2</v>
      </c>
      <c r="F1931" s="12" t="s">
        <v>5789</v>
      </c>
    </row>
    <row x14ac:dyDescent="0.25" r="1932" customHeight="1" ht="18.75">
      <c r="A1932" s="12" t="s">
        <v>5790</v>
      </c>
      <c r="B1932" s="9">
        <v>44441</v>
      </c>
      <c r="C1932" s="12" t="s">
        <v>13</v>
      </c>
      <c r="D1932" s="12" t="s">
        <v>5791</v>
      </c>
      <c r="E1932" s="12" t="s">
        <v>13</v>
      </c>
      <c r="F1932" s="12" t="s">
        <v>5792</v>
      </c>
    </row>
    <row x14ac:dyDescent="0.25" r="1933" customHeight="1" ht="18.75">
      <c r="A1933" s="12" t="s">
        <v>5793</v>
      </c>
      <c r="B1933" s="9">
        <v>44421</v>
      </c>
      <c r="C1933" s="12" t="s">
        <v>13</v>
      </c>
      <c r="D1933" s="12" t="s">
        <v>5794</v>
      </c>
      <c r="E1933" s="12" t="s">
        <v>13</v>
      </c>
      <c r="F1933" s="12" t="s">
        <v>5795</v>
      </c>
    </row>
    <row x14ac:dyDescent="0.25" r="1934" customHeight="1" ht="18.75">
      <c r="A1934" s="12" t="s">
        <v>5796</v>
      </c>
      <c r="B1934" s="9">
        <v>44420</v>
      </c>
      <c r="C1934" s="12" t="s">
        <v>13</v>
      </c>
      <c r="D1934" s="12" t="s">
        <v>5797</v>
      </c>
      <c r="E1934" s="12" t="s">
        <v>13</v>
      </c>
      <c r="F1934" s="12" t="s">
        <v>5798</v>
      </c>
    </row>
    <row x14ac:dyDescent="0.25" r="1935" customHeight="1" ht="18.75">
      <c r="A1935" s="12" t="s">
        <v>5799</v>
      </c>
      <c r="B1935" s="9">
        <v>44391</v>
      </c>
      <c r="C1935" s="12" t="s">
        <v>13</v>
      </c>
      <c r="D1935" s="12" t="s">
        <v>5800</v>
      </c>
      <c r="E1935" s="12" t="s">
        <v>13</v>
      </c>
      <c r="F1935" s="12" t="s">
        <v>5801</v>
      </c>
    </row>
    <row x14ac:dyDescent="0.25" r="1936" customHeight="1" ht="18.75" hidden="1">
      <c r="A1936" s="12" t="s">
        <v>5802</v>
      </c>
      <c r="B1936" s="9">
        <v>44390</v>
      </c>
      <c r="C1936" s="12" t="s">
        <v>2</v>
      </c>
      <c r="D1936" s="12" t="s">
        <v>5803</v>
      </c>
      <c r="E1936" s="12" t="s">
        <v>2</v>
      </c>
      <c r="F1936" s="12" t="s">
        <v>5804</v>
      </c>
    </row>
    <row x14ac:dyDescent="0.25" r="1937" customHeight="1" ht="18.75" hidden="1">
      <c r="A1937" s="12" t="s">
        <v>5805</v>
      </c>
      <c r="B1937" s="9">
        <v>44383</v>
      </c>
      <c r="C1937" s="12" t="s">
        <v>3</v>
      </c>
      <c r="D1937" s="12" t="s">
        <v>5806</v>
      </c>
      <c r="E1937" s="12" t="s">
        <v>3</v>
      </c>
      <c r="F1937" s="12" t="s">
        <v>5807</v>
      </c>
    </row>
    <row x14ac:dyDescent="0.25" r="1938" customHeight="1" ht="18.75" hidden="1">
      <c r="A1938" s="12" t="s">
        <v>5808</v>
      </c>
      <c r="B1938" s="9">
        <v>44379</v>
      </c>
      <c r="C1938" s="12" t="s">
        <v>2</v>
      </c>
      <c r="D1938" s="12" t="s">
        <v>5809</v>
      </c>
      <c r="E1938" s="12" t="s">
        <v>2</v>
      </c>
      <c r="F1938" s="12" t="s">
        <v>5810</v>
      </c>
    </row>
    <row x14ac:dyDescent="0.25" r="1939" customHeight="1" ht="18.75">
      <c r="A1939" s="12" t="s">
        <v>5811</v>
      </c>
      <c r="B1939" s="9">
        <v>44370</v>
      </c>
      <c r="C1939" s="12" t="s">
        <v>13</v>
      </c>
      <c r="D1939" s="12" t="s">
        <v>5812</v>
      </c>
      <c r="E1939" s="12" t="s">
        <v>13</v>
      </c>
      <c r="F1939" s="12" t="s">
        <v>5813</v>
      </c>
    </row>
    <row x14ac:dyDescent="0.25" r="1940" customHeight="1" ht="18.75" hidden="1">
      <c r="A1940" s="12" t="s">
        <v>5814</v>
      </c>
      <c r="B1940" s="9">
        <v>44365</v>
      </c>
      <c r="C1940" s="12" t="s">
        <v>2</v>
      </c>
      <c r="D1940" s="12" t="s">
        <v>5815</v>
      </c>
      <c r="E1940" s="12" t="s">
        <v>2</v>
      </c>
      <c r="F1940" s="12" t="s">
        <v>5816</v>
      </c>
    </row>
    <row x14ac:dyDescent="0.25" r="1941" customHeight="1" ht="18.75" hidden="1">
      <c r="A1941" s="12" t="s">
        <v>5817</v>
      </c>
      <c r="B1941" s="9">
        <v>44348</v>
      </c>
      <c r="C1941" s="12" t="s">
        <v>2</v>
      </c>
      <c r="D1941" s="12" t="s">
        <v>5818</v>
      </c>
      <c r="E1941" s="12" t="s">
        <v>2</v>
      </c>
      <c r="F1941" s="12" t="s">
        <v>5819</v>
      </c>
    </row>
    <row x14ac:dyDescent="0.25" r="1942" customHeight="1" ht="18.75" hidden="1">
      <c r="A1942" s="12" t="s">
        <v>5820</v>
      </c>
      <c r="B1942" s="9">
        <v>44334</v>
      </c>
      <c r="C1942" s="12" t="s">
        <v>2</v>
      </c>
      <c r="D1942" s="12" t="s">
        <v>5821</v>
      </c>
      <c r="E1942" s="12" t="s">
        <v>2</v>
      </c>
      <c r="F1942" s="12" t="s">
        <v>5822</v>
      </c>
    </row>
    <row x14ac:dyDescent="0.25" r="1943" customHeight="1" ht="18.75" hidden="1">
      <c r="A1943" s="12" t="s">
        <v>5823</v>
      </c>
      <c r="B1943" s="9">
        <v>44334</v>
      </c>
      <c r="C1943" s="12" t="s">
        <v>2</v>
      </c>
      <c r="D1943" s="12" t="s">
        <v>5824</v>
      </c>
      <c r="E1943" s="12" t="s">
        <v>2</v>
      </c>
      <c r="F1943" s="12" t="s">
        <v>5825</v>
      </c>
    </row>
    <row x14ac:dyDescent="0.25" r="1944" customHeight="1" ht="18.75">
      <c r="A1944" s="12" t="s">
        <v>5826</v>
      </c>
      <c r="B1944" s="9">
        <v>44330</v>
      </c>
      <c r="C1944" s="12" t="s">
        <v>13</v>
      </c>
      <c r="D1944" s="12" t="s">
        <v>5827</v>
      </c>
      <c r="E1944" s="12" t="s">
        <v>13</v>
      </c>
      <c r="F1944" s="12" t="s">
        <v>5828</v>
      </c>
    </row>
    <row x14ac:dyDescent="0.25" r="1945" customHeight="1" ht="18.75">
      <c r="A1945" s="12" t="s">
        <v>5829</v>
      </c>
      <c r="B1945" s="9">
        <v>44328</v>
      </c>
      <c r="C1945" s="12" t="s">
        <v>13</v>
      </c>
      <c r="D1945" s="12" t="s">
        <v>5830</v>
      </c>
      <c r="E1945" s="12" t="s">
        <v>13</v>
      </c>
      <c r="F1945" s="12" t="s">
        <v>5831</v>
      </c>
    </row>
    <row x14ac:dyDescent="0.25" r="1946" customHeight="1" ht="18.75">
      <c r="A1946" s="12" t="s">
        <v>5832</v>
      </c>
      <c r="B1946" s="9">
        <v>44327</v>
      </c>
      <c r="C1946" s="12" t="s">
        <v>13</v>
      </c>
      <c r="D1946" s="12" t="s">
        <v>5833</v>
      </c>
      <c r="E1946" s="12" t="s">
        <v>13</v>
      </c>
      <c r="F1946" s="12" t="s">
        <v>5834</v>
      </c>
    </row>
    <row x14ac:dyDescent="0.25" r="1947" customHeight="1" ht="18.75">
      <c r="A1947" s="12" t="s">
        <v>5835</v>
      </c>
      <c r="B1947" s="9">
        <v>44302</v>
      </c>
      <c r="C1947" s="12" t="s">
        <v>101</v>
      </c>
      <c r="D1947" s="12" t="s">
        <v>5836</v>
      </c>
      <c r="E1947" s="12" t="s">
        <v>13</v>
      </c>
      <c r="F1947" s="12" t="s">
        <v>5837</v>
      </c>
    </row>
    <row x14ac:dyDescent="0.25" r="1948" customHeight="1" ht="18.75">
      <c r="A1948" s="12" t="s">
        <v>5838</v>
      </c>
      <c r="B1948" s="9">
        <v>44301</v>
      </c>
      <c r="C1948" s="12" t="s">
        <v>13</v>
      </c>
      <c r="D1948" s="12" t="s">
        <v>5839</v>
      </c>
      <c r="E1948" s="12" t="s">
        <v>13</v>
      </c>
      <c r="F1948" s="12" t="s">
        <v>5840</v>
      </c>
    </row>
    <row x14ac:dyDescent="0.25" r="1949" customHeight="1" ht="18.75" hidden="1">
      <c r="A1949" s="12" t="s">
        <v>5841</v>
      </c>
      <c r="B1949" s="9">
        <v>44295</v>
      </c>
      <c r="C1949" s="12" t="s">
        <v>3</v>
      </c>
      <c r="D1949" s="12" t="s">
        <v>5842</v>
      </c>
      <c r="E1949" s="12" t="s">
        <v>3</v>
      </c>
      <c r="F1949" s="12" t="s">
        <v>5843</v>
      </c>
    </row>
    <row x14ac:dyDescent="0.25" r="1950" customHeight="1" ht="18.75" hidden="1">
      <c r="A1950" s="12" t="s">
        <v>5844</v>
      </c>
      <c r="B1950" s="9">
        <v>44295</v>
      </c>
      <c r="C1950" s="12" t="s">
        <v>3</v>
      </c>
      <c r="D1950" s="12" t="s">
        <v>5845</v>
      </c>
      <c r="E1950" s="12" t="s">
        <v>3</v>
      </c>
      <c r="F1950" s="12" t="s">
        <v>5846</v>
      </c>
    </row>
    <row x14ac:dyDescent="0.25" r="1951" customHeight="1" ht="18.75">
      <c r="A1951" s="12" t="s">
        <v>5847</v>
      </c>
      <c r="B1951" s="9">
        <v>44274</v>
      </c>
      <c r="C1951" s="12" t="s">
        <v>13</v>
      </c>
      <c r="D1951" s="12" t="s">
        <v>5848</v>
      </c>
      <c r="E1951" s="12" t="s">
        <v>13</v>
      </c>
      <c r="F1951" s="12" t="s">
        <v>5849</v>
      </c>
    </row>
    <row x14ac:dyDescent="0.25" r="1952" customHeight="1" ht="18.75">
      <c r="A1952" s="12" t="s">
        <v>5850</v>
      </c>
      <c r="B1952" s="9">
        <v>44258</v>
      </c>
      <c r="C1952" s="12" t="s">
        <v>101</v>
      </c>
      <c r="D1952" s="12" t="s">
        <v>5851</v>
      </c>
      <c r="E1952" s="12" t="s">
        <v>13</v>
      </c>
      <c r="F1952" s="12" t="s">
        <v>5852</v>
      </c>
    </row>
    <row x14ac:dyDescent="0.25" r="1953" customHeight="1" ht="18.75" hidden="1">
      <c r="A1953" s="12" t="s">
        <v>5853</v>
      </c>
      <c r="B1953" s="9">
        <v>44249</v>
      </c>
      <c r="C1953" s="12" t="s">
        <v>2</v>
      </c>
      <c r="D1953" s="12" t="s">
        <v>5854</v>
      </c>
      <c r="E1953" s="12" t="s">
        <v>2</v>
      </c>
      <c r="F1953" s="12" t="s">
        <v>5855</v>
      </c>
    </row>
    <row x14ac:dyDescent="0.25" r="1954" customHeight="1" ht="18.75" hidden="1">
      <c r="A1954" s="12" t="s">
        <v>5856</v>
      </c>
      <c r="B1954" s="9">
        <v>44242</v>
      </c>
      <c r="C1954" s="12" t="s">
        <v>2</v>
      </c>
      <c r="D1954" s="12" t="s">
        <v>5857</v>
      </c>
      <c r="E1954" s="12" t="s">
        <v>2</v>
      </c>
      <c r="F1954" s="12" t="s">
        <v>5858</v>
      </c>
    </row>
    <row x14ac:dyDescent="0.25" r="1955" customHeight="1" ht="18.75" hidden="1">
      <c r="A1955" s="12" t="s">
        <v>5859</v>
      </c>
      <c r="B1955" s="9">
        <v>44235</v>
      </c>
      <c r="C1955" s="12" t="s">
        <v>2</v>
      </c>
      <c r="D1955" s="12" t="s">
        <v>5860</v>
      </c>
      <c r="E1955" s="12" t="s">
        <v>2</v>
      </c>
      <c r="F1955" s="12" t="s">
        <v>5861</v>
      </c>
    </row>
    <row x14ac:dyDescent="0.25" r="1956" customHeight="1" ht="18.75" hidden="1">
      <c r="A1956" s="12" t="s">
        <v>5862</v>
      </c>
      <c r="B1956" s="9">
        <v>44233</v>
      </c>
      <c r="C1956" s="12" t="s">
        <v>3</v>
      </c>
      <c r="D1956" s="12" t="s">
        <v>5863</v>
      </c>
      <c r="E1956" s="12" t="s">
        <v>3</v>
      </c>
      <c r="F1956" s="12" t="s">
        <v>5864</v>
      </c>
    </row>
    <row x14ac:dyDescent="0.25" r="1957" customHeight="1" ht="18.75">
      <c r="A1957" s="12" t="s">
        <v>5865</v>
      </c>
      <c r="B1957" s="9">
        <v>44231</v>
      </c>
      <c r="C1957" s="12" t="s">
        <v>13</v>
      </c>
      <c r="D1957" s="12" t="s">
        <v>5866</v>
      </c>
      <c r="E1957" s="12" t="s">
        <v>13</v>
      </c>
      <c r="F1957" s="12" t="s">
        <v>5867</v>
      </c>
    </row>
    <row x14ac:dyDescent="0.25" r="1958" customHeight="1" ht="18.75" hidden="1">
      <c r="A1958" s="12" t="s">
        <v>5868</v>
      </c>
      <c r="B1958" s="9">
        <v>44228</v>
      </c>
      <c r="C1958" s="12" t="s">
        <v>2</v>
      </c>
      <c r="D1958" s="12" t="s">
        <v>5869</v>
      </c>
      <c r="E1958" s="12" t="s">
        <v>2</v>
      </c>
      <c r="F1958" s="12" t="s">
        <v>5870</v>
      </c>
    </row>
    <row x14ac:dyDescent="0.25" r="1959" customHeight="1" ht="18.75" hidden="1">
      <c r="A1959" s="12" t="s">
        <v>5871</v>
      </c>
      <c r="B1959" s="9">
        <v>44224</v>
      </c>
      <c r="C1959" s="12" t="s">
        <v>2</v>
      </c>
      <c r="D1959" s="12" t="s">
        <v>5872</v>
      </c>
      <c r="E1959" s="12" t="s">
        <v>2</v>
      </c>
      <c r="F1959" s="12" t="s">
        <v>5873</v>
      </c>
    </row>
    <row x14ac:dyDescent="0.25" r="1960" customHeight="1" ht="18.75" hidden="1">
      <c r="A1960" s="12" t="s">
        <v>5874</v>
      </c>
      <c r="B1960" s="9">
        <v>44201</v>
      </c>
      <c r="C1960" s="12" t="s">
        <v>2</v>
      </c>
      <c r="D1960" s="12" t="s">
        <v>5875</v>
      </c>
      <c r="E1960" s="12" t="s">
        <v>2</v>
      </c>
      <c r="F1960" s="12" t="s">
        <v>5876</v>
      </c>
    </row>
    <row x14ac:dyDescent="0.25" r="1961" customHeight="1" ht="18.75">
      <c r="A1961" s="12" t="s">
        <v>5877</v>
      </c>
      <c r="B1961" s="9">
        <v>44187</v>
      </c>
      <c r="C1961" s="12" t="s">
        <v>13</v>
      </c>
      <c r="D1961" s="12" t="s">
        <v>5878</v>
      </c>
      <c r="E1961" s="12" t="s">
        <v>13</v>
      </c>
      <c r="F1961" s="12" t="s">
        <v>5879</v>
      </c>
    </row>
    <row x14ac:dyDescent="0.25" r="1962" customHeight="1" ht="18.75" hidden="1">
      <c r="A1962" s="12" t="s">
        <v>5880</v>
      </c>
      <c r="B1962" s="9">
        <v>44168</v>
      </c>
      <c r="C1962" s="12" t="s">
        <v>2</v>
      </c>
      <c r="D1962" s="12" t="s">
        <v>5881</v>
      </c>
      <c r="E1962" s="12" t="s">
        <v>2</v>
      </c>
      <c r="F1962" s="12" t="s">
        <v>5882</v>
      </c>
    </row>
    <row x14ac:dyDescent="0.25" r="1963" customHeight="1" ht="18.75" hidden="1">
      <c r="A1963" s="12" t="s">
        <v>5883</v>
      </c>
      <c r="B1963" s="9">
        <v>44159</v>
      </c>
      <c r="C1963" s="12" t="s">
        <v>2</v>
      </c>
      <c r="D1963" s="12" t="s">
        <v>5884</v>
      </c>
      <c r="E1963" s="12" t="s">
        <v>2</v>
      </c>
      <c r="F1963" s="12" t="s">
        <v>5885</v>
      </c>
    </row>
    <row x14ac:dyDescent="0.25" r="1964" customHeight="1" ht="18.75" hidden="1">
      <c r="A1964" s="12" t="s">
        <v>5886</v>
      </c>
      <c r="B1964" s="9">
        <v>44131</v>
      </c>
      <c r="C1964" s="12" t="s">
        <v>2</v>
      </c>
      <c r="D1964" s="12" t="s">
        <v>5887</v>
      </c>
      <c r="E1964" s="12" t="s">
        <v>2</v>
      </c>
      <c r="F1964" s="12" t="s">
        <v>5888</v>
      </c>
    </row>
    <row x14ac:dyDescent="0.25" r="1965" customHeight="1" ht="18.75">
      <c r="A1965" s="12" t="s">
        <v>5889</v>
      </c>
      <c r="B1965" s="9">
        <v>44126</v>
      </c>
      <c r="C1965" s="12" t="s">
        <v>13</v>
      </c>
      <c r="D1965" s="12" t="s">
        <v>5890</v>
      </c>
      <c r="E1965" s="12" t="s">
        <v>13</v>
      </c>
      <c r="F1965" s="12" t="s">
        <v>5891</v>
      </c>
    </row>
    <row x14ac:dyDescent="0.25" r="1966" customHeight="1" ht="18.75">
      <c r="A1966" s="12" t="s">
        <v>5892</v>
      </c>
      <c r="B1966" s="9">
        <v>44124</v>
      </c>
      <c r="C1966" s="12" t="s">
        <v>13</v>
      </c>
      <c r="D1966" s="12" t="s">
        <v>5893</v>
      </c>
      <c r="E1966" s="12" t="s">
        <v>13</v>
      </c>
      <c r="F1966" s="12" t="s">
        <v>5894</v>
      </c>
    </row>
    <row x14ac:dyDescent="0.25" r="1967" customHeight="1" ht="18.75" hidden="1">
      <c r="A1967" s="12" t="s">
        <v>5895</v>
      </c>
      <c r="B1967" s="9">
        <v>44115</v>
      </c>
      <c r="C1967" s="12" t="s">
        <v>3</v>
      </c>
      <c r="D1967" s="12" t="s">
        <v>5896</v>
      </c>
      <c r="E1967" s="12" t="s">
        <v>3</v>
      </c>
      <c r="F1967" s="12" t="s">
        <v>5897</v>
      </c>
    </row>
    <row x14ac:dyDescent="0.25" r="1968" customHeight="1" ht="18.75">
      <c r="A1968" s="12" t="s">
        <v>5898</v>
      </c>
      <c r="B1968" s="9">
        <v>44092</v>
      </c>
      <c r="C1968" s="12" t="s">
        <v>13</v>
      </c>
      <c r="D1968" s="12" t="s">
        <v>5899</v>
      </c>
      <c r="E1968" s="12" t="s">
        <v>13</v>
      </c>
      <c r="F1968" s="12" t="s">
        <v>5900</v>
      </c>
    </row>
    <row x14ac:dyDescent="0.25" r="1969" customHeight="1" ht="18.75" hidden="1">
      <c r="A1969" s="12" t="s">
        <v>5901</v>
      </c>
      <c r="B1969" s="9">
        <v>44077</v>
      </c>
      <c r="C1969" s="12" t="s">
        <v>3</v>
      </c>
      <c r="D1969" s="12" t="s">
        <v>5902</v>
      </c>
      <c r="E1969" s="12" t="s">
        <v>3</v>
      </c>
      <c r="F1969" s="12" t="s">
        <v>5903</v>
      </c>
    </row>
    <row x14ac:dyDescent="0.25" r="1970" customHeight="1" ht="18.75" hidden="1">
      <c r="A1970" s="12" t="s">
        <v>5904</v>
      </c>
      <c r="B1970" s="9">
        <v>44063</v>
      </c>
      <c r="C1970" s="12" t="s">
        <v>3</v>
      </c>
      <c r="D1970" s="12" t="s">
        <v>5905</v>
      </c>
      <c r="E1970" s="12" t="s">
        <v>3</v>
      </c>
      <c r="F1970" s="12" t="s">
        <v>5906</v>
      </c>
    </row>
    <row x14ac:dyDescent="0.25" r="1971" customHeight="1" ht="18.75">
      <c r="A1971" s="12" t="s">
        <v>5907</v>
      </c>
      <c r="B1971" s="9">
        <v>44053</v>
      </c>
      <c r="C1971" s="12" t="s">
        <v>13</v>
      </c>
      <c r="D1971" s="12" t="s">
        <v>5908</v>
      </c>
      <c r="E1971" s="12" t="s">
        <v>13</v>
      </c>
      <c r="F1971" s="12" t="s">
        <v>5909</v>
      </c>
    </row>
    <row x14ac:dyDescent="0.25" r="1972" customHeight="1" ht="18.75">
      <c r="A1972" s="12" t="s">
        <v>5910</v>
      </c>
      <c r="B1972" s="9">
        <v>44051</v>
      </c>
      <c r="C1972" s="12" t="s">
        <v>13</v>
      </c>
      <c r="D1972" s="12" t="s">
        <v>5911</v>
      </c>
      <c r="E1972" s="12" t="s">
        <v>13</v>
      </c>
      <c r="F1972" s="12" t="s">
        <v>5912</v>
      </c>
    </row>
    <row x14ac:dyDescent="0.25" r="1973" customHeight="1" ht="18.75">
      <c r="A1973" s="12" t="s">
        <v>5913</v>
      </c>
      <c r="B1973" s="9">
        <v>44050</v>
      </c>
      <c r="C1973" s="12" t="s">
        <v>13</v>
      </c>
      <c r="D1973" s="12" t="s">
        <v>5914</v>
      </c>
      <c r="E1973" s="12" t="s">
        <v>13</v>
      </c>
      <c r="F1973" s="12" t="s">
        <v>5915</v>
      </c>
    </row>
    <row x14ac:dyDescent="0.25" r="1974" customHeight="1" ht="18.75" hidden="1">
      <c r="A1974" s="12" t="s">
        <v>5916</v>
      </c>
      <c r="B1974" s="9">
        <v>44043</v>
      </c>
      <c r="C1974" s="12" t="s">
        <v>3</v>
      </c>
      <c r="D1974" s="12" t="s">
        <v>5917</v>
      </c>
      <c r="E1974" s="12" t="s">
        <v>3</v>
      </c>
      <c r="F1974" s="12" t="s">
        <v>5918</v>
      </c>
    </row>
    <row x14ac:dyDescent="0.25" r="1975" customHeight="1" ht="18.75">
      <c r="A1975" s="12" t="s">
        <v>5919</v>
      </c>
      <c r="B1975" s="9">
        <v>44034</v>
      </c>
      <c r="C1975" s="12" t="s">
        <v>13</v>
      </c>
      <c r="D1975" s="12" t="s">
        <v>5920</v>
      </c>
      <c r="E1975" s="12" t="s">
        <v>13</v>
      </c>
      <c r="F1975" s="12" t="s">
        <v>5921</v>
      </c>
    </row>
    <row x14ac:dyDescent="0.25" r="1976" customHeight="1" ht="18.75">
      <c r="A1976" s="12" t="s">
        <v>5922</v>
      </c>
      <c r="B1976" s="9">
        <v>44029</v>
      </c>
      <c r="C1976" s="12" t="s">
        <v>13</v>
      </c>
      <c r="D1976" s="12" t="s">
        <v>5923</v>
      </c>
      <c r="E1976" s="12" t="s">
        <v>13</v>
      </c>
      <c r="F1976" s="12" t="s">
        <v>5924</v>
      </c>
    </row>
    <row x14ac:dyDescent="0.25" r="1977" customHeight="1" ht="18.75" hidden="1">
      <c r="A1977" s="12" t="s">
        <v>5925</v>
      </c>
      <c r="B1977" s="9">
        <v>44026</v>
      </c>
      <c r="C1977" s="12" t="s">
        <v>2</v>
      </c>
      <c r="D1977" s="12" t="s">
        <v>5926</v>
      </c>
      <c r="E1977" s="12" t="s">
        <v>2</v>
      </c>
      <c r="F1977" s="12" t="s">
        <v>5927</v>
      </c>
    </row>
    <row x14ac:dyDescent="0.25" r="1978" customHeight="1" ht="18.75">
      <c r="A1978" s="12" t="s">
        <v>5928</v>
      </c>
      <c r="B1978" s="9">
        <v>44020</v>
      </c>
      <c r="C1978" s="12" t="s">
        <v>13</v>
      </c>
      <c r="D1978" s="12" t="s">
        <v>5929</v>
      </c>
      <c r="E1978" s="12" t="s">
        <v>13</v>
      </c>
      <c r="F1978" s="12" t="s">
        <v>5930</v>
      </c>
    </row>
    <row x14ac:dyDescent="0.25" r="1979" customHeight="1" ht="18.75" hidden="1">
      <c r="A1979" s="12" t="s">
        <v>5931</v>
      </c>
      <c r="B1979" s="9">
        <v>44011</v>
      </c>
      <c r="C1979" s="12" t="s">
        <v>3</v>
      </c>
      <c r="D1979" s="12" t="s">
        <v>5932</v>
      </c>
      <c r="E1979" s="12" t="s">
        <v>3</v>
      </c>
      <c r="F1979" s="12" t="s">
        <v>5933</v>
      </c>
    </row>
    <row x14ac:dyDescent="0.25" r="1980" customHeight="1" ht="18.75" hidden="1">
      <c r="A1980" s="12" t="s">
        <v>5934</v>
      </c>
      <c r="B1980" s="9">
        <v>43998</v>
      </c>
      <c r="C1980" s="12" t="s">
        <v>3</v>
      </c>
      <c r="D1980" s="12" t="s">
        <v>5935</v>
      </c>
      <c r="E1980" s="12" t="s">
        <v>3</v>
      </c>
      <c r="F1980" s="12" t="s">
        <v>5936</v>
      </c>
    </row>
    <row x14ac:dyDescent="0.25" r="1981" customHeight="1" ht="18.75">
      <c r="A1981" s="12" t="s">
        <v>5937</v>
      </c>
      <c r="B1981" s="9">
        <v>43986</v>
      </c>
      <c r="C1981" s="12" t="s">
        <v>13</v>
      </c>
      <c r="D1981" s="12" t="s">
        <v>5938</v>
      </c>
      <c r="E1981" s="12" t="s">
        <v>13</v>
      </c>
      <c r="F1981" s="12" t="s">
        <v>5939</v>
      </c>
    </row>
    <row x14ac:dyDescent="0.25" r="1982" customHeight="1" ht="18.75" hidden="1">
      <c r="A1982" s="12" t="s">
        <v>5940</v>
      </c>
      <c r="B1982" s="9">
        <v>43984</v>
      </c>
      <c r="C1982" s="12" t="s">
        <v>2</v>
      </c>
      <c r="D1982" s="12" t="s">
        <v>5941</v>
      </c>
      <c r="E1982" s="12" t="s">
        <v>2</v>
      </c>
      <c r="F1982" s="12" t="s">
        <v>5942</v>
      </c>
    </row>
    <row x14ac:dyDescent="0.25" r="1983" customHeight="1" ht="18.75" hidden="1">
      <c r="A1983" s="12" t="s">
        <v>5943</v>
      </c>
      <c r="B1983" s="9">
        <v>43983</v>
      </c>
      <c r="C1983" s="12" t="s">
        <v>2</v>
      </c>
      <c r="D1983" s="12" t="s">
        <v>5944</v>
      </c>
      <c r="E1983" s="12" t="s">
        <v>2</v>
      </c>
      <c r="F1983" s="12" t="s">
        <v>5945</v>
      </c>
    </row>
    <row x14ac:dyDescent="0.25" r="1984" customHeight="1" ht="18.75" hidden="1">
      <c r="A1984" s="12" t="s">
        <v>5946</v>
      </c>
      <c r="B1984" s="9">
        <v>43973</v>
      </c>
      <c r="C1984" s="12" t="s">
        <v>2</v>
      </c>
      <c r="D1984" s="12" t="s">
        <v>5947</v>
      </c>
      <c r="E1984" s="12" t="s">
        <v>2</v>
      </c>
      <c r="F1984" s="12" t="s">
        <v>5948</v>
      </c>
    </row>
    <row x14ac:dyDescent="0.25" r="1985" customHeight="1" ht="18.75">
      <c r="A1985" s="12" t="s">
        <v>5949</v>
      </c>
      <c r="B1985" s="9">
        <v>43966</v>
      </c>
      <c r="C1985" s="12" t="s">
        <v>13</v>
      </c>
      <c r="D1985" s="12" t="s">
        <v>5950</v>
      </c>
      <c r="E1985" s="12" t="s">
        <v>13</v>
      </c>
      <c r="F1985" s="12" t="s">
        <v>5951</v>
      </c>
    </row>
    <row x14ac:dyDescent="0.25" r="1986" customHeight="1" ht="18.75" hidden="1">
      <c r="A1986" s="12" t="s">
        <v>5952</v>
      </c>
      <c r="B1986" s="9">
        <v>43962</v>
      </c>
      <c r="C1986" s="12" t="s">
        <v>2</v>
      </c>
      <c r="D1986" s="12" t="s">
        <v>5953</v>
      </c>
      <c r="E1986" s="12" t="s">
        <v>2</v>
      </c>
      <c r="F1986" s="12" t="s">
        <v>5954</v>
      </c>
    </row>
    <row x14ac:dyDescent="0.25" r="1987" customHeight="1" ht="18.75" hidden="1">
      <c r="A1987" s="12" t="s">
        <v>5955</v>
      </c>
      <c r="B1987" s="9">
        <v>43962</v>
      </c>
      <c r="C1987" s="12" t="s">
        <v>3</v>
      </c>
      <c r="D1987" s="12" t="s">
        <v>5956</v>
      </c>
      <c r="E1987" s="12" t="s">
        <v>3</v>
      </c>
      <c r="F1987" s="12" t="s">
        <v>5957</v>
      </c>
    </row>
    <row x14ac:dyDescent="0.25" r="1988" customHeight="1" ht="18.75" hidden="1">
      <c r="A1988" s="12" t="s">
        <v>5958</v>
      </c>
      <c r="B1988" s="9">
        <v>43953</v>
      </c>
      <c r="C1988" s="12" t="s">
        <v>3</v>
      </c>
      <c r="D1988" s="12" t="s">
        <v>5959</v>
      </c>
      <c r="E1988" s="12" t="s">
        <v>3</v>
      </c>
      <c r="F1988" s="12" t="s">
        <v>5960</v>
      </c>
    </row>
    <row x14ac:dyDescent="0.25" r="1989" customHeight="1" ht="18.75">
      <c r="A1989" s="12" t="s">
        <v>5961</v>
      </c>
      <c r="B1989" s="9">
        <v>43949</v>
      </c>
      <c r="C1989" s="12" t="s">
        <v>101</v>
      </c>
      <c r="D1989" s="12" t="s">
        <v>5962</v>
      </c>
      <c r="E1989" s="12" t="s">
        <v>13</v>
      </c>
      <c r="F1989" s="12" t="s">
        <v>5963</v>
      </c>
    </row>
    <row x14ac:dyDescent="0.25" r="1990" customHeight="1" ht="18.75" hidden="1">
      <c r="A1990" s="12" t="s">
        <v>5964</v>
      </c>
      <c r="B1990" s="9">
        <v>43948</v>
      </c>
      <c r="C1990" s="12" t="s">
        <v>3</v>
      </c>
      <c r="D1990" s="12" t="s">
        <v>5965</v>
      </c>
      <c r="E1990" s="12" t="s">
        <v>3</v>
      </c>
      <c r="F1990" s="12" t="s">
        <v>5966</v>
      </c>
    </row>
    <row x14ac:dyDescent="0.25" r="1991" customHeight="1" ht="18.75" hidden="1">
      <c r="A1991" s="12" t="s">
        <v>5967</v>
      </c>
      <c r="B1991" s="9">
        <v>43948</v>
      </c>
      <c r="C1991" s="12" t="s">
        <v>3</v>
      </c>
      <c r="D1991" s="12" t="s">
        <v>5968</v>
      </c>
      <c r="E1991" s="12" t="s">
        <v>3</v>
      </c>
      <c r="F1991" s="12" t="s">
        <v>5969</v>
      </c>
    </row>
    <row x14ac:dyDescent="0.25" r="1992" customHeight="1" ht="18.75" hidden="1">
      <c r="A1992" s="12" t="s">
        <v>5970</v>
      </c>
      <c r="B1992" s="9">
        <v>43947</v>
      </c>
      <c r="C1992" s="12" t="s">
        <v>3</v>
      </c>
      <c r="D1992" s="12" t="s">
        <v>5971</v>
      </c>
      <c r="E1992" s="12" t="s">
        <v>3</v>
      </c>
      <c r="F1992" s="12" t="s">
        <v>5972</v>
      </c>
    </row>
    <row x14ac:dyDescent="0.25" r="1993" customHeight="1" ht="18.75" hidden="1">
      <c r="A1993" s="12" t="s">
        <v>5973</v>
      </c>
      <c r="B1993" s="9">
        <v>43946</v>
      </c>
      <c r="C1993" s="12" t="s">
        <v>3</v>
      </c>
      <c r="D1993" s="12" t="s">
        <v>5974</v>
      </c>
      <c r="E1993" s="12" t="s">
        <v>3</v>
      </c>
      <c r="F1993" s="12" t="s">
        <v>5975</v>
      </c>
    </row>
    <row x14ac:dyDescent="0.25" r="1994" customHeight="1" ht="18.75" hidden="1">
      <c r="A1994" s="12" t="s">
        <v>5976</v>
      </c>
      <c r="B1994" s="9">
        <v>43943</v>
      </c>
      <c r="C1994" s="12" t="s">
        <v>3</v>
      </c>
      <c r="D1994" s="12" t="s">
        <v>5977</v>
      </c>
      <c r="E1994" s="12" t="s">
        <v>3</v>
      </c>
      <c r="F1994" s="12" t="s">
        <v>5978</v>
      </c>
    </row>
    <row x14ac:dyDescent="0.25" r="1995" customHeight="1" ht="18.75" hidden="1">
      <c r="A1995" s="12" t="s">
        <v>5979</v>
      </c>
      <c r="B1995" s="9">
        <v>43943</v>
      </c>
      <c r="C1995" s="12" t="s">
        <v>3</v>
      </c>
      <c r="D1995" s="12" t="s">
        <v>5980</v>
      </c>
      <c r="E1995" s="12" t="s">
        <v>3</v>
      </c>
      <c r="F1995" s="12" t="s">
        <v>5981</v>
      </c>
    </row>
    <row x14ac:dyDescent="0.25" r="1996" customHeight="1" ht="18.75" hidden="1">
      <c r="A1996" s="12" t="s">
        <v>5982</v>
      </c>
      <c r="B1996" s="9">
        <v>43943</v>
      </c>
      <c r="C1996" s="12" t="s">
        <v>3</v>
      </c>
      <c r="D1996" s="12" t="s">
        <v>5983</v>
      </c>
      <c r="E1996" s="12" t="s">
        <v>3</v>
      </c>
      <c r="F1996" s="12" t="s">
        <v>5984</v>
      </c>
    </row>
    <row x14ac:dyDescent="0.25" r="1997" customHeight="1" ht="18.75" hidden="1">
      <c r="A1997" s="12" t="s">
        <v>5985</v>
      </c>
      <c r="B1997" s="9">
        <v>43943</v>
      </c>
      <c r="C1997" s="12" t="s">
        <v>3</v>
      </c>
      <c r="D1997" s="12" t="s">
        <v>5986</v>
      </c>
      <c r="E1997" s="12" t="s">
        <v>3</v>
      </c>
      <c r="F1997" s="12" t="s">
        <v>5987</v>
      </c>
    </row>
    <row x14ac:dyDescent="0.25" r="1998" customHeight="1" ht="18.75" hidden="1">
      <c r="A1998" s="12" t="s">
        <v>5988</v>
      </c>
      <c r="B1998" s="9">
        <v>43942</v>
      </c>
      <c r="C1998" s="12" t="s">
        <v>3</v>
      </c>
      <c r="D1998" s="12" t="s">
        <v>5989</v>
      </c>
      <c r="E1998" s="12" t="s">
        <v>3</v>
      </c>
      <c r="F1998" s="12" t="s">
        <v>5990</v>
      </c>
    </row>
    <row x14ac:dyDescent="0.25" r="1999" customHeight="1" ht="18.75" hidden="1">
      <c r="A1999" s="12" t="s">
        <v>5991</v>
      </c>
      <c r="B1999" s="9">
        <v>43942</v>
      </c>
      <c r="C1999" s="12" t="s">
        <v>3</v>
      </c>
      <c r="D1999" s="12" t="s">
        <v>5992</v>
      </c>
      <c r="E1999" s="12" t="s">
        <v>3</v>
      </c>
      <c r="F1999" s="12" t="s">
        <v>5993</v>
      </c>
    </row>
    <row x14ac:dyDescent="0.25" r="2000" customHeight="1" ht="18.75" hidden="1">
      <c r="A2000" s="12" t="s">
        <v>5994</v>
      </c>
      <c r="B2000" s="9">
        <v>43942</v>
      </c>
      <c r="C2000" s="12" t="s">
        <v>3</v>
      </c>
      <c r="D2000" s="12" t="s">
        <v>5995</v>
      </c>
      <c r="E2000" s="12" t="s">
        <v>3</v>
      </c>
      <c r="F2000" s="12" t="s">
        <v>5996</v>
      </c>
    </row>
    <row x14ac:dyDescent="0.25" r="2001" customHeight="1" ht="18.75" hidden="1">
      <c r="A2001" s="12" t="s">
        <v>5997</v>
      </c>
      <c r="B2001" s="9">
        <v>43942</v>
      </c>
      <c r="C2001" s="12" t="s">
        <v>2</v>
      </c>
      <c r="D2001" s="12" t="s">
        <v>5998</v>
      </c>
      <c r="E2001" s="12" t="s">
        <v>2</v>
      </c>
      <c r="F2001" s="12" t="s">
        <v>5999</v>
      </c>
    </row>
    <row x14ac:dyDescent="0.25" r="2002" customHeight="1" ht="18.75" hidden="1">
      <c r="A2002" s="12" t="s">
        <v>6000</v>
      </c>
      <c r="B2002" s="9">
        <v>43942</v>
      </c>
      <c r="C2002" s="12" t="s">
        <v>3</v>
      </c>
      <c r="D2002" s="12" t="s">
        <v>6001</v>
      </c>
      <c r="E2002" s="12" t="s">
        <v>3</v>
      </c>
      <c r="F2002" s="12" t="s">
        <v>6002</v>
      </c>
    </row>
    <row x14ac:dyDescent="0.25" r="2003" customHeight="1" ht="18.75" hidden="1">
      <c r="A2003" s="12" t="s">
        <v>6003</v>
      </c>
      <c r="B2003" s="9">
        <v>43942</v>
      </c>
      <c r="C2003" s="12" t="s">
        <v>2</v>
      </c>
      <c r="D2003" s="12" t="s">
        <v>6004</v>
      </c>
      <c r="E2003" s="12" t="s">
        <v>2</v>
      </c>
      <c r="F2003" s="12" t="s">
        <v>6005</v>
      </c>
    </row>
    <row x14ac:dyDescent="0.25" r="2004" customHeight="1" ht="18.75" hidden="1">
      <c r="A2004" s="12" t="s">
        <v>6006</v>
      </c>
      <c r="B2004" s="9">
        <v>43941</v>
      </c>
      <c r="C2004" s="12" t="s">
        <v>3</v>
      </c>
      <c r="D2004" s="12" t="s">
        <v>6007</v>
      </c>
      <c r="E2004" s="12" t="s">
        <v>3</v>
      </c>
      <c r="F2004" s="12" t="s">
        <v>6008</v>
      </c>
    </row>
    <row x14ac:dyDescent="0.25" r="2005" customHeight="1" ht="18.75" hidden="1">
      <c r="A2005" s="12" t="s">
        <v>6009</v>
      </c>
      <c r="B2005" s="9">
        <v>43941</v>
      </c>
      <c r="C2005" s="12" t="s">
        <v>3</v>
      </c>
      <c r="D2005" s="12" t="s">
        <v>6010</v>
      </c>
      <c r="E2005" s="12" t="s">
        <v>3</v>
      </c>
      <c r="F2005" s="12" t="s">
        <v>6011</v>
      </c>
    </row>
    <row x14ac:dyDescent="0.25" r="2006" customHeight="1" ht="18.75" hidden="1">
      <c r="A2006" s="12" t="s">
        <v>6012</v>
      </c>
      <c r="B2006" s="9">
        <v>43941</v>
      </c>
      <c r="C2006" s="12" t="s">
        <v>3</v>
      </c>
      <c r="D2006" s="12" t="s">
        <v>6013</v>
      </c>
      <c r="E2006" s="12" t="s">
        <v>3</v>
      </c>
      <c r="F2006" s="12" t="s">
        <v>6014</v>
      </c>
    </row>
    <row x14ac:dyDescent="0.25" r="2007" customHeight="1" ht="18.75" hidden="1">
      <c r="A2007" s="12" t="s">
        <v>6015</v>
      </c>
      <c r="B2007" s="9">
        <v>43940</v>
      </c>
      <c r="C2007" s="12" t="s">
        <v>3</v>
      </c>
      <c r="D2007" s="12" t="s">
        <v>6016</v>
      </c>
      <c r="E2007" s="12" t="s">
        <v>3</v>
      </c>
      <c r="F2007" s="12" t="s">
        <v>6017</v>
      </c>
    </row>
    <row x14ac:dyDescent="0.25" r="2008" customHeight="1" ht="18.75" hidden="1">
      <c r="A2008" s="12" t="s">
        <v>6018</v>
      </c>
      <c r="B2008" s="9">
        <v>43938</v>
      </c>
      <c r="C2008" s="12" t="s">
        <v>3</v>
      </c>
      <c r="D2008" s="12" t="s">
        <v>6019</v>
      </c>
      <c r="E2008" s="12" t="s">
        <v>3</v>
      </c>
      <c r="F2008" s="12" t="s">
        <v>6020</v>
      </c>
    </row>
    <row x14ac:dyDescent="0.25" r="2009" customHeight="1" ht="18.75">
      <c r="A2009" s="12" t="s">
        <v>6021</v>
      </c>
      <c r="B2009" s="9">
        <v>43938</v>
      </c>
      <c r="C2009" s="12" t="s">
        <v>101</v>
      </c>
      <c r="D2009" s="12" t="s">
        <v>6022</v>
      </c>
      <c r="E2009" s="12" t="s">
        <v>4</v>
      </c>
      <c r="F2009" s="12" t="s">
        <v>6023</v>
      </c>
    </row>
    <row x14ac:dyDescent="0.25" r="2010" customHeight="1" ht="18.75">
      <c r="A2010" s="12" t="s">
        <v>6024</v>
      </c>
      <c r="B2010" s="9">
        <v>43935</v>
      </c>
      <c r="C2010" s="12" t="s">
        <v>101</v>
      </c>
      <c r="D2010" s="12" t="s">
        <v>6025</v>
      </c>
      <c r="E2010" s="12" t="s">
        <v>13</v>
      </c>
      <c r="F2010" s="12" t="s">
        <v>6026</v>
      </c>
    </row>
    <row x14ac:dyDescent="0.25" r="2011" customHeight="1" ht="18.75" hidden="1">
      <c r="A2011" s="12" t="s">
        <v>6027</v>
      </c>
      <c r="B2011" s="9">
        <v>43928</v>
      </c>
      <c r="C2011" s="12" t="s">
        <v>3</v>
      </c>
      <c r="D2011" s="12" t="s">
        <v>6028</v>
      </c>
      <c r="E2011" s="12" t="s">
        <v>3</v>
      </c>
      <c r="F2011" s="12" t="s">
        <v>6029</v>
      </c>
    </row>
    <row x14ac:dyDescent="0.25" r="2012" customHeight="1" ht="18.75" hidden="1">
      <c r="A2012" s="12" t="s">
        <v>6030</v>
      </c>
      <c r="B2012" s="9">
        <v>43926</v>
      </c>
      <c r="C2012" s="12" t="s">
        <v>3</v>
      </c>
      <c r="D2012" s="12" t="s">
        <v>6031</v>
      </c>
      <c r="E2012" s="12" t="s">
        <v>3</v>
      </c>
      <c r="F2012" s="12" t="s">
        <v>6032</v>
      </c>
    </row>
    <row x14ac:dyDescent="0.25" r="2013" customHeight="1" ht="18.75">
      <c r="A2013" s="12" t="s">
        <v>6033</v>
      </c>
      <c r="B2013" s="9">
        <v>43902</v>
      </c>
      <c r="C2013" s="12" t="s">
        <v>101</v>
      </c>
      <c r="D2013" s="12" t="s">
        <v>6034</v>
      </c>
      <c r="E2013" s="12" t="s">
        <v>13</v>
      </c>
      <c r="F2013" s="12" t="s">
        <v>6035</v>
      </c>
    </row>
    <row x14ac:dyDescent="0.25" r="2014" customHeight="1" ht="18.75" hidden="1">
      <c r="A2014" s="12" t="s">
        <v>6036</v>
      </c>
      <c r="B2014" s="9">
        <v>43899</v>
      </c>
      <c r="C2014" s="12" t="s">
        <v>3</v>
      </c>
      <c r="D2014" s="12" t="s">
        <v>6037</v>
      </c>
      <c r="E2014" s="12" t="s">
        <v>3</v>
      </c>
      <c r="F2014" s="12" t="s">
        <v>6038</v>
      </c>
    </row>
    <row x14ac:dyDescent="0.25" r="2015" customHeight="1" ht="18.75" hidden="1">
      <c r="A2015" s="12" t="s">
        <v>6039</v>
      </c>
      <c r="B2015" s="9">
        <v>43899</v>
      </c>
      <c r="C2015" s="12" t="s">
        <v>3</v>
      </c>
      <c r="D2015" s="12" t="s">
        <v>6040</v>
      </c>
      <c r="E2015" s="12" t="s">
        <v>3</v>
      </c>
      <c r="F2015" s="12" t="s">
        <v>6041</v>
      </c>
    </row>
    <row x14ac:dyDescent="0.25" r="2016" customHeight="1" ht="18.75" hidden="1">
      <c r="A2016" s="12" t="s">
        <v>6042</v>
      </c>
      <c r="B2016" s="9">
        <v>43899</v>
      </c>
      <c r="C2016" s="12" t="s">
        <v>3</v>
      </c>
      <c r="D2016" s="12" t="s">
        <v>6043</v>
      </c>
      <c r="E2016" s="12" t="s">
        <v>3</v>
      </c>
      <c r="F2016" s="12" t="s">
        <v>6044</v>
      </c>
    </row>
    <row x14ac:dyDescent="0.25" r="2017" customHeight="1" ht="18.75" hidden="1">
      <c r="A2017" s="12" t="s">
        <v>6045</v>
      </c>
      <c r="B2017" s="9">
        <v>43898</v>
      </c>
      <c r="C2017" s="12" t="s">
        <v>3</v>
      </c>
      <c r="D2017" s="12" t="s">
        <v>6046</v>
      </c>
      <c r="E2017" s="12" t="s">
        <v>3</v>
      </c>
      <c r="F2017" s="12" t="s">
        <v>6047</v>
      </c>
    </row>
    <row x14ac:dyDescent="0.25" r="2018" customHeight="1" ht="18.75" hidden="1">
      <c r="A2018" s="12" t="s">
        <v>6048</v>
      </c>
      <c r="B2018" s="9">
        <v>43898</v>
      </c>
      <c r="C2018" s="12" t="s">
        <v>3</v>
      </c>
      <c r="D2018" s="12" t="s">
        <v>6049</v>
      </c>
      <c r="E2018" s="12" t="s">
        <v>3</v>
      </c>
      <c r="F2018" s="12" t="s">
        <v>6050</v>
      </c>
    </row>
    <row x14ac:dyDescent="0.25" r="2019" customHeight="1" ht="18.75" hidden="1">
      <c r="A2019" s="12" t="s">
        <v>6051</v>
      </c>
      <c r="B2019" s="9">
        <v>43878</v>
      </c>
      <c r="C2019" s="12" t="s">
        <v>3</v>
      </c>
      <c r="D2019" s="12" t="s">
        <v>6052</v>
      </c>
      <c r="E2019" s="12" t="s">
        <v>3</v>
      </c>
      <c r="F2019" s="12" t="s">
        <v>6053</v>
      </c>
    </row>
    <row x14ac:dyDescent="0.25" r="2020" customHeight="1" ht="18.75" hidden="1">
      <c r="A2020" s="12" t="s">
        <v>6054</v>
      </c>
      <c r="B2020" s="9">
        <v>43873</v>
      </c>
      <c r="C2020" s="12" t="s">
        <v>3</v>
      </c>
      <c r="D2020" s="12" t="s">
        <v>6055</v>
      </c>
      <c r="E2020" s="12" t="s">
        <v>3</v>
      </c>
      <c r="F2020" s="12" t="s">
        <v>6056</v>
      </c>
    </row>
    <row x14ac:dyDescent="0.25" r="2021" customHeight="1" ht="18.75">
      <c r="A2021" s="12" t="s">
        <v>6057</v>
      </c>
      <c r="B2021" s="9">
        <v>43829</v>
      </c>
      <c r="C2021" s="12" t="s">
        <v>101</v>
      </c>
      <c r="D2021" s="12" t="s">
        <v>6058</v>
      </c>
      <c r="E2021" s="12" t="s">
        <v>13</v>
      </c>
      <c r="F2021" s="12" t="s">
        <v>6059</v>
      </c>
    </row>
    <row x14ac:dyDescent="0.25" r="2022" customHeight="1" ht="18.75">
      <c r="A2022" s="12" t="s">
        <v>6060</v>
      </c>
      <c r="B2022" s="9">
        <v>43801</v>
      </c>
      <c r="C2022" s="12" t="s">
        <v>101</v>
      </c>
      <c r="D2022" s="12" t="s">
        <v>6061</v>
      </c>
      <c r="E2022" s="12" t="s">
        <v>13</v>
      </c>
      <c r="F2022" s="12" t="s">
        <v>6062</v>
      </c>
    </row>
    <row x14ac:dyDescent="0.25" r="2023" customHeight="1" ht="18.75">
      <c r="A2023" s="12" t="s">
        <v>6063</v>
      </c>
      <c r="B2023" s="9">
        <v>43801</v>
      </c>
      <c r="C2023" s="12" t="s">
        <v>101</v>
      </c>
      <c r="D2023" s="12" t="s">
        <v>6064</v>
      </c>
      <c r="E2023" s="12" t="s">
        <v>13</v>
      </c>
      <c r="F2023" s="12" t="s">
        <v>6065</v>
      </c>
    </row>
    <row x14ac:dyDescent="0.25" r="2024" customHeight="1" ht="18.75" hidden="1">
      <c r="A2024" s="12" t="s">
        <v>6066</v>
      </c>
      <c r="B2024" s="9">
        <v>43798</v>
      </c>
      <c r="C2024" s="12" t="s">
        <v>3</v>
      </c>
      <c r="D2024" s="12" t="s">
        <v>6067</v>
      </c>
      <c r="E2024" s="12" t="s">
        <v>2</v>
      </c>
      <c r="F2024" s="12" t="s">
        <v>6068</v>
      </c>
    </row>
    <row x14ac:dyDescent="0.25" r="2025" customHeight="1" ht="18.75" hidden="1">
      <c r="A2025" s="12" t="s">
        <v>6069</v>
      </c>
      <c r="B2025" s="9">
        <v>43780</v>
      </c>
      <c r="C2025" s="12" t="s">
        <v>3</v>
      </c>
      <c r="D2025" s="12" t="s">
        <v>6070</v>
      </c>
      <c r="E2025" s="12" t="s">
        <v>3</v>
      </c>
      <c r="F2025" s="12" t="s">
        <v>6071</v>
      </c>
    </row>
    <row x14ac:dyDescent="0.25" r="2026" customHeight="1" ht="18.75" hidden="1">
      <c r="A2026" s="12" t="s">
        <v>6072</v>
      </c>
      <c r="B2026" s="9">
        <v>43727</v>
      </c>
      <c r="C2026" s="12" t="s">
        <v>3</v>
      </c>
      <c r="D2026" s="12" t="s">
        <v>6073</v>
      </c>
      <c r="E2026" s="12" t="s">
        <v>3</v>
      </c>
      <c r="F2026" s="12" t="s">
        <v>6074</v>
      </c>
    </row>
    <row x14ac:dyDescent="0.25" r="2027" customHeight="1" ht="18.75" hidden="1">
      <c r="A2027" s="12" t="s">
        <v>6075</v>
      </c>
      <c r="B2027" s="9">
        <v>43723</v>
      </c>
      <c r="C2027" s="12" t="s">
        <v>2</v>
      </c>
      <c r="D2027" s="12" t="s">
        <v>6076</v>
      </c>
      <c r="E2027" s="12" t="s">
        <v>2</v>
      </c>
      <c r="F2027" s="12" t="s">
        <v>6077</v>
      </c>
    </row>
    <row x14ac:dyDescent="0.25" r="2028" customHeight="1" ht="18.75" hidden="1">
      <c r="A2028" s="12" t="s">
        <v>6078</v>
      </c>
      <c r="B2028" s="9">
        <v>43723</v>
      </c>
      <c r="C2028" s="12" t="s">
        <v>2</v>
      </c>
      <c r="D2028" s="12" t="s">
        <v>6079</v>
      </c>
      <c r="E2028" s="12" t="s">
        <v>2</v>
      </c>
      <c r="F2028" s="12" t="s">
        <v>6080</v>
      </c>
    </row>
    <row x14ac:dyDescent="0.25" r="2029" customHeight="1" ht="18.75" hidden="1">
      <c r="A2029" s="12" t="s">
        <v>6081</v>
      </c>
      <c r="B2029" s="9">
        <v>43723</v>
      </c>
      <c r="C2029" s="12" t="s">
        <v>2</v>
      </c>
      <c r="D2029" s="12" t="s">
        <v>6082</v>
      </c>
      <c r="E2029" s="12" t="s">
        <v>2</v>
      </c>
      <c r="F2029" s="12" t="s">
        <v>6083</v>
      </c>
    </row>
    <row x14ac:dyDescent="0.25" r="2030" customHeight="1" ht="18.75">
      <c r="A2030" s="12" t="s">
        <v>6084</v>
      </c>
      <c r="B2030" s="9">
        <v>43678</v>
      </c>
      <c r="C2030" s="12" t="s">
        <v>13</v>
      </c>
      <c r="D2030" s="12" t="s">
        <v>6085</v>
      </c>
      <c r="E2030" s="12" t="s">
        <v>13</v>
      </c>
      <c r="F2030" s="12" t="s">
        <v>6086</v>
      </c>
    </row>
    <row x14ac:dyDescent="0.25" r="2031" customHeight="1" ht="18.75" hidden="1">
      <c r="A2031" s="12" t="s">
        <v>6087</v>
      </c>
      <c r="B2031" s="9">
        <v>43642</v>
      </c>
      <c r="C2031" s="12" t="s">
        <v>2</v>
      </c>
      <c r="D2031" s="12" t="s">
        <v>6088</v>
      </c>
      <c r="E2031" s="12" t="s">
        <v>2</v>
      </c>
      <c r="F2031" s="12" t="s">
        <v>6089</v>
      </c>
    </row>
    <row x14ac:dyDescent="0.25" r="2032" customHeight="1" ht="18.75">
      <c r="A2032" s="12" t="s">
        <v>6090</v>
      </c>
      <c r="B2032" s="9">
        <v>43619</v>
      </c>
      <c r="C2032" s="12" t="s">
        <v>13</v>
      </c>
      <c r="D2032" s="12" t="s">
        <v>6091</v>
      </c>
      <c r="E2032" s="12" t="s">
        <v>13</v>
      </c>
      <c r="F2032" s="12" t="s">
        <v>6092</v>
      </c>
    </row>
    <row x14ac:dyDescent="0.25" r="2033" customHeight="1" ht="18.75" hidden="1">
      <c r="A2033" s="12" t="s">
        <v>6093</v>
      </c>
      <c r="B2033" s="9">
        <v>43614</v>
      </c>
      <c r="C2033" s="12" t="s">
        <v>3</v>
      </c>
      <c r="D2033" s="12" t="s">
        <v>6094</v>
      </c>
      <c r="E2033" s="12" t="s">
        <v>3</v>
      </c>
      <c r="F2033" s="12" t="s">
        <v>6095</v>
      </c>
    </row>
    <row x14ac:dyDescent="0.25" r="2034" customHeight="1" ht="18.75">
      <c r="A2034" s="12" t="s">
        <v>6096</v>
      </c>
      <c r="B2034" s="9">
        <v>43602</v>
      </c>
      <c r="C2034" s="12" t="s">
        <v>13</v>
      </c>
      <c r="D2034" s="12" t="s">
        <v>6097</v>
      </c>
      <c r="E2034" s="12" t="s">
        <v>13</v>
      </c>
      <c r="F2034" s="12" t="s">
        <v>6098</v>
      </c>
    </row>
    <row x14ac:dyDescent="0.25" r="2035" customHeight="1" ht="18.75" hidden="1">
      <c r="A2035" s="12" t="s">
        <v>6099</v>
      </c>
      <c r="B2035" s="9">
        <v>43567</v>
      </c>
      <c r="C2035" s="12" t="s">
        <v>2</v>
      </c>
      <c r="D2035" s="12" t="s">
        <v>6100</v>
      </c>
      <c r="E2035" s="12" t="s">
        <v>2</v>
      </c>
      <c r="F2035" s="12" t="s">
        <v>6101</v>
      </c>
    </row>
    <row x14ac:dyDescent="0.25" r="2036" customHeight="1" ht="18.75" hidden="1">
      <c r="A2036" s="12" t="s">
        <v>6102</v>
      </c>
      <c r="B2036" s="9">
        <v>43563</v>
      </c>
      <c r="C2036" s="12" t="s">
        <v>2</v>
      </c>
      <c r="D2036" s="12" t="s">
        <v>6103</v>
      </c>
      <c r="E2036" s="12" t="s">
        <v>2</v>
      </c>
      <c r="F2036" s="12" t="s">
        <v>6104</v>
      </c>
    </row>
    <row x14ac:dyDescent="0.25" r="2037" customHeight="1" ht="18.75" hidden="1">
      <c r="A2037" s="12" t="s">
        <v>6105</v>
      </c>
      <c r="B2037" s="9">
        <v>43532</v>
      </c>
      <c r="C2037" s="12" t="s">
        <v>3</v>
      </c>
      <c r="D2037" s="12" t="s">
        <v>6106</v>
      </c>
      <c r="E2037" s="12" t="s">
        <v>3</v>
      </c>
      <c r="F2037" s="12" t="s">
        <v>6107</v>
      </c>
    </row>
    <row x14ac:dyDescent="0.25" r="2038" customHeight="1" ht="18.75" hidden="1">
      <c r="A2038" s="12" t="s">
        <v>6108</v>
      </c>
      <c r="B2038" s="9">
        <v>43526</v>
      </c>
      <c r="C2038" s="12" t="s">
        <v>2</v>
      </c>
      <c r="D2038" s="12" t="s">
        <v>6109</v>
      </c>
      <c r="E2038" s="12" t="s">
        <v>2</v>
      </c>
      <c r="F2038" s="12" t="s">
        <v>6110</v>
      </c>
    </row>
    <row x14ac:dyDescent="0.25" r="2039" customHeight="1" ht="18.75" hidden="1">
      <c r="A2039" s="12" t="s">
        <v>6111</v>
      </c>
      <c r="B2039" s="9">
        <v>43515</v>
      </c>
      <c r="C2039" s="12" t="s">
        <v>2</v>
      </c>
      <c r="D2039" s="12" t="s">
        <v>6112</v>
      </c>
      <c r="E2039" s="12" t="s">
        <v>2</v>
      </c>
      <c r="F2039" s="12" t="s">
        <v>6113</v>
      </c>
    </row>
    <row x14ac:dyDescent="0.25" r="2040" customHeight="1" ht="18.75" hidden="1">
      <c r="A2040" s="12" t="s">
        <v>6114</v>
      </c>
      <c r="B2040" s="9">
        <v>43494</v>
      </c>
      <c r="C2040" s="12" t="s">
        <v>3</v>
      </c>
      <c r="D2040" s="12" t="s">
        <v>6115</v>
      </c>
      <c r="E2040" s="12" t="s">
        <v>3</v>
      </c>
      <c r="F2040" s="12" t="s">
        <v>6116</v>
      </c>
    </row>
    <row x14ac:dyDescent="0.25" r="2041" customHeight="1" ht="18.75" hidden="1">
      <c r="A2041" s="12" t="s">
        <v>6117</v>
      </c>
      <c r="B2041" s="9">
        <v>43482</v>
      </c>
      <c r="C2041" s="12" t="s">
        <v>2</v>
      </c>
      <c r="D2041" s="12" t="s">
        <v>6118</v>
      </c>
      <c r="E2041" s="12" t="s">
        <v>2</v>
      </c>
      <c r="F2041" s="12" t="s">
        <v>6119</v>
      </c>
    </row>
    <row x14ac:dyDescent="0.25" r="2042" customHeight="1" ht="18.75" hidden="1">
      <c r="A2042" s="12" t="s">
        <v>6120</v>
      </c>
      <c r="B2042" s="9">
        <v>43472</v>
      </c>
      <c r="C2042" s="12" t="s">
        <v>2</v>
      </c>
      <c r="D2042" s="12" t="s">
        <v>6121</v>
      </c>
      <c r="E2042" s="12" t="s">
        <v>2</v>
      </c>
      <c r="F2042" s="12" t="s">
        <v>6122</v>
      </c>
    </row>
    <row x14ac:dyDescent="0.25" r="2043" customHeight="1" ht="18.75" hidden="1">
      <c r="A2043" s="12" t="s">
        <v>6123</v>
      </c>
      <c r="B2043" s="9">
        <v>43458</v>
      </c>
      <c r="C2043" s="12" t="s">
        <v>3</v>
      </c>
      <c r="D2043" s="12" t="s">
        <v>6124</v>
      </c>
      <c r="E2043" s="12" t="s">
        <v>3</v>
      </c>
      <c r="F2043" s="12" t="s">
        <v>6125</v>
      </c>
    </row>
    <row x14ac:dyDescent="0.25" r="2044" customHeight="1" ht="18.75" hidden="1">
      <c r="A2044" s="12" t="s">
        <v>6126</v>
      </c>
      <c r="B2044" s="9">
        <v>43426</v>
      </c>
      <c r="C2044" s="12" t="s">
        <v>3</v>
      </c>
      <c r="D2044" s="12" t="s">
        <v>6127</v>
      </c>
      <c r="E2044" s="12" t="s">
        <v>3</v>
      </c>
      <c r="F2044" s="12" t="s">
        <v>6128</v>
      </c>
    </row>
    <row x14ac:dyDescent="0.25" r="2045" customHeight="1" ht="18.75" hidden="1">
      <c r="A2045" s="12" t="s">
        <v>6129</v>
      </c>
      <c r="B2045" s="9">
        <v>43418</v>
      </c>
      <c r="C2045" s="12" t="s">
        <v>2</v>
      </c>
      <c r="D2045" s="12" t="s">
        <v>6130</v>
      </c>
      <c r="E2045" s="12" t="s">
        <v>2</v>
      </c>
      <c r="F2045" s="12" t="s">
        <v>6131</v>
      </c>
    </row>
    <row x14ac:dyDescent="0.25" r="2046" customHeight="1" ht="18.75">
      <c r="A2046" s="12" t="s">
        <v>6132</v>
      </c>
      <c r="B2046" s="9">
        <v>43409</v>
      </c>
      <c r="C2046" s="12" t="s">
        <v>13</v>
      </c>
      <c r="D2046" s="12" t="s">
        <v>6133</v>
      </c>
      <c r="E2046" s="12" t="s">
        <v>13</v>
      </c>
      <c r="F2046" s="12" t="s">
        <v>6134</v>
      </c>
    </row>
    <row x14ac:dyDescent="0.25" r="2047" customHeight="1" ht="18.75" hidden="1">
      <c r="A2047" s="12" t="s">
        <v>6135</v>
      </c>
      <c r="B2047" s="9">
        <v>43394</v>
      </c>
      <c r="C2047" s="12" t="s">
        <v>2</v>
      </c>
      <c r="D2047" s="12" t="s">
        <v>6136</v>
      </c>
      <c r="E2047" s="12" t="s">
        <v>2</v>
      </c>
      <c r="F2047" s="12" t="s">
        <v>6137</v>
      </c>
    </row>
    <row x14ac:dyDescent="0.25" r="2048" customHeight="1" ht="18.75" hidden="1">
      <c r="A2048" s="12" t="s">
        <v>6138</v>
      </c>
      <c r="B2048" s="9">
        <v>43391</v>
      </c>
      <c r="C2048" s="12" t="s">
        <v>2</v>
      </c>
      <c r="D2048" s="12" t="s">
        <v>6139</v>
      </c>
      <c r="E2048" s="12" t="s">
        <v>2</v>
      </c>
      <c r="F2048" s="12" t="s">
        <v>6140</v>
      </c>
    </row>
    <row x14ac:dyDescent="0.25" r="2049" customHeight="1" ht="18.75" hidden="1">
      <c r="A2049" s="12" t="s">
        <v>6141</v>
      </c>
      <c r="B2049" s="9">
        <v>43382</v>
      </c>
      <c r="C2049" s="12" t="s">
        <v>2</v>
      </c>
      <c r="D2049" s="12" t="s">
        <v>6142</v>
      </c>
      <c r="E2049" s="12" t="s">
        <v>2</v>
      </c>
      <c r="F2049" s="12" t="s">
        <v>6143</v>
      </c>
    </row>
    <row x14ac:dyDescent="0.25" r="2050" customHeight="1" ht="18.75" hidden="1">
      <c r="A2050" s="12" t="s">
        <v>6144</v>
      </c>
      <c r="B2050" s="9">
        <v>43364</v>
      </c>
      <c r="C2050" s="12" t="s">
        <v>2</v>
      </c>
      <c r="D2050" s="12" t="s">
        <v>6145</v>
      </c>
      <c r="E2050" s="12" t="s">
        <v>2</v>
      </c>
      <c r="F2050" s="12" t="s">
        <v>6146</v>
      </c>
    </row>
    <row x14ac:dyDescent="0.25" r="2051" customHeight="1" ht="18.75" hidden="1">
      <c r="A2051" s="12" t="s">
        <v>6147</v>
      </c>
      <c r="B2051" s="9">
        <v>43353</v>
      </c>
      <c r="C2051" s="12" t="s">
        <v>2</v>
      </c>
      <c r="D2051" s="12" t="s">
        <v>6148</v>
      </c>
      <c r="E2051" s="12" t="s">
        <v>2</v>
      </c>
      <c r="F2051" s="12" t="s">
        <v>6149</v>
      </c>
    </row>
    <row x14ac:dyDescent="0.25" r="2052" customHeight="1" ht="18.75" hidden="1">
      <c r="A2052" s="12" t="s">
        <v>6150</v>
      </c>
      <c r="B2052" s="9">
        <v>43322</v>
      </c>
      <c r="C2052" s="12" t="s">
        <v>2</v>
      </c>
      <c r="D2052" s="12" t="s">
        <v>6151</v>
      </c>
      <c r="E2052" s="12" t="s">
        <v>2</v>
      </c>
      <c r="F2052" s="12" t="s">
        <v>6152</v>
      </c>
    </row>
    <row x14ac:dyDescent="0.25" r="2053" customHeight="1" ht="18.75" hidden="1">
      <c r="A2053" s="12" t="s">
        <v>6153</v>
      </c>
      <c r="B2053" s="9">
        <v>43236</v>
      </c>
      <c r="C2053" s="12" t="s">
        <v>2</v>
      </c>
      <c r="D2053" s="12" t="s">
        <v>6154</v>
      </c>
      <c r="E2053" s="12" t="s">
        <v>2</v>
      </c>
      <c r="F2053" s="12" t="s">
        <v>6155</v>
      </c>
    </row>
    <row x14ac:dyDescent="0.25" r="2054" customHeight="1" ht="18.75">
      <c r="A2054" s="12" t="s">
        <v>6156</v>
      </c>
      <c r="B2054" s="9">
        <v>43234</v>
      </c>
      <c r="C2054" s="12" t="s">
        <v>13</v>
      </c>
      <c r="D2054" s="12" t="s">
        <v>6157</v>
      </c>
      <c r="E2054" s="12" t="s">
        <v>13</v>
      </c>
      <c r="F2054" s="12" t="s">
        <v>6158</v>
      </c>
    </row>
    <row x14ac:dyDescent="0.25" r="2055" customHeight="1" ht="18.75">
      <c r="A2055" s="12" t="s">
        <v>6159</v>
      </c>
      <c r="B2055" s="9">
        <v>43160</v>
      </c>
      <c r="C2055" s="12" t="s">
        <v>13</v>
      </c>
      <c r="D2055" s="12" t="s">
        <v>6160</v>
      </c>
      <c r="E2055" s="12" t="s">
        <v>13</v>
      </c>
      <c r="F2055" s="12" t="s">
        <v>6161</v>
      </c>
    </row>
    <row x14ac:dyDescent="0.25" r="2056" customHeight="1" ht="18.75" hidden="1">
      <c r="A2056" s="12" t="s">
        <v>6162</v>
      </c>
      <c r="B2056" s="9">
        <v>43159</v>
      </c>
      <c r="C2056" s="12" t="s">
        <v>2</v>
      </c>
      <c r="D2056" s="12" t="s">
        <v>6163</v>
      </c>
      <c r="E2056" s="12" t="s">
        <v>2</v>
      </c>
      <c r="F2056" s="12" t="s">
        <v>6164</v>
      </c>
    </row>
    <row x14ac:dyDescent="0.25" r="2057" customHeight="1" ht="18.75" hidden="1">
      <c r="A2057" s="12" t="s">
        <v>6165</v>
      </c>
      <c r="B2057" s="9">
        <v>43131</v>
      </c>
      <c r="C2057" s="12" t="s">
        <v>2</v>
      </c>
      <c r="D2057" s="12" t="s">
        <v>6166</v>
      </c>
      <c r="E2057" s="12" t="s">
        <v>2</v>
      </c>
      <c r="F2057" s="12" t="s">
        <v>6167</v>
      </c>
    </row>
    <row x14ac:dyDescent="0.25" r="2058" customHeight="1" ht="18.75" hidden="1">
      <c r="A2058" s="12" t="s">
        <v>6168</v>
      </c>
      <c r="B2058" s="9">
        <v>43115</v>
      </c>
      <c r="C2058" s="12" t="s">
        <v>3</v>
      </c>
      <c r="D2058" s="12" t="s">
        <v>6169</v>
      </c>
      <c r="E2058" s="12" t="s">
        <v>3</v>
      </c>
      <c r="F2058" s="12" t="s">
        <v>6170</v>
      </c>
    </row>
    <row x14ac:dyDescent="0.25" r="2059" customHeight="1" ht="18.75" hidden="1">
      <c r="A2059" s="12" t="s">
        <v>6171</v>
      </c>
      <c r="B2059" s="9">
        <v>43089</v>
      </c>
      <c r="C2059" s="12" t="s">
        <v>3</v>
      </c>
      <c r="D2059" s="12" t="s">
        <v>6172</v>
      </c>
      <c r="E2059" s="12" t="s">
        <v>3</v>
      </c>
      <c r="F2059" s="12" t="s">
        <v>6173</v>
      </c>
    </row>
    <row x14ac:dyDescent="0.25" r="2060" customHeight="1" ht="18.75" hidden="1">
      <c r="A2060" s="12" t="s">
        <v>6174</v>
      </c>
      <c r="B2060" s="9">
        <v>43075</v>
      </c>
      <c r="C2060" s="12" t="s">
        <v>2</v>
      </c>
      <c r="D2060" s="12" t="s">
        <v>6175</v>
      </c>
      <c r="E2060" s="12" t="s">
        <v>2</v>
      </c>
      <c r="F2060" s="12" t="s">
        <v>6176</v>
      </c>
    </row>
    <row x14ac:dyDescent="0.25" r="2061" customHeight="1" ht="18.75">
      <c r="A2061" s="12" t="s">
        <v>6177</v>
      </c>
      <c r="B2061" s="9">
        <v>43056</v>
      </c>
      <c r="C2061" s="12" t="s">
        <v>101</v>
      </c>
      <c r="D2061" s="12" t="s">
        <v>6178</v>
      </c>
      <c r="E2061" s="12" t="s">
        <v>13</v>
      </c>
      <c r="F2061" s="12" t="s">
        <v>6179</v>
      </c>
    </row>
    <row x14ac:dyDescent="0.25" r="2062" customHeight="1" ht="18.75" hidden="1">
      <c r="A2062" s="12" t="s">
        <v>6180</v>
      </c>
      <c r="B2062" s="9">
        <v>43048</v>
      </c>
      <c r="C2062" s="12" t="s">
        <v>2</v>
      </c>
      <c r="D2062" s="12" t="s">
        <v>6181</v>
      </c>
      <c r="E2062" s="12" t="s">
        <v>2</v>
      </c>
      <c r="F2062" s="12" t="s">
        <v>6182</v>
      </c>
    </row>
    <row x14ac:dyDescent="0.25" r="2063" customHeight="1" ht="18.75" hidden="1">
      <c r="A2063" s="12" t="s">
        <v>6183</v>
      </c>
      <c r="B2063" s="9">
        <v>43043</v>
      </c>
      <c r="C2063" s="12" t="s">
        <v>2</v>
      </c>
      <c r="D2063" s="12" t="s">
        <v>6184</v>
      </c>
      <c r="E2063" s="12" t="s">
        <v>2</v>
      </c>
      <c r="F2063" s="12" t="s">
        <v>6185</v>
      </c>
    </row>
    <row x14ac:dyDescent="0.25" r="2064" customHeight="1" ht="18.75" hidden="1">
      <c r="A2064" s="12" t="s">
        <v>6186</v>
      </c>
      <c r="B2064" s="9">
        <v>43014</v>
      </c>
      <c r="C2064" s="12" t="s">
        <v>3</v>
      </c>
      <c r="D2064" s="12" t="s">
        <v>6187</v>
      </c>
      <c r="E2064" s="12" t="s">
        <v>3</v>
      </c>
      <c r="F2064" s="12" t="s">
        <v>6188</v>
      </c>
    </row>
    <row x14ac:dyDescent="0.25" r="2065" customHeight="1" ht="18.75" hidden="1">
      <c r="A2065" s="12" t="s">
        <v>6189</v>
      </c>
      <c r="B2065" s="9">
        <v>42995</v>
      </c>
      <c r="C2065" s="12" t="s">
        <v>2</v>
      </c>
      <c r="D2065" s="12" t="s">
        <v>6190</v>
      </c>
      <c r="E2065" s="12" t="s">
        <v>2</v>
      </c>
      <c r="F2065" s="12" t="s">
        <v>6191</v>
      </c>
    </row>
    <row x14ac:dyDescent="0.25" r="2066" customHeight="1" ht="18.75">
      <c r="A2066" s="12" t="s">
        <v>6192</v>
      </c>
      <c r="B2066" s="9">
        <v>42970</v>
      </c>
      <c r="C2066" s="12" t="s">
        <v>13</v>
      </c>
      <c r="D2066" s="12" t="s">
        <v>6193</v>
      </c>
      <c r="E2066" s="12" t="s">
        <v>13</v>
      </c>
      <c r="F2066" s="12" t="s">
        <v>6194</v>
      </c>
    </row>
    <row x14ac:dyDescent="0.25" r="2067" customHeight="1" ht="18.75" hidden="1">
      <c r="A2067" s="12" t="s">
        <v>6195</v>
      </c>
      <c r="B2067" s="9">
        <v>42965</v>
      </c>
      <c r="C2067" s="12" t="s">
        <v>2</v>
      </c>
      <c r="D2067" s="12" t="s">
        <v>6196</v>
      </c>
      <c r="E2067" s="12" t="s">
        <v>2</v>
      </c>
      <c r="F2067" s="12" t="s">
        <v>6197</v>
      </c>
    </row>
    <row x14ac:dyDescent="0.25" r="2068" customHeight="1" ht="18.75" hidden="1">
      <c r="A2068" s="12" t="s">
        <v>6198</v>
      </c>
      <c r="B2068" s="9">
        <v>42954</v>
      </c>
      <c r="C2068" s="12" t="s">
        <v>3</v>
      </c>
      <c r="D2068" s="12" t="s">
        <v>6199</v>
      </c>
      <c r="E2068" s="12" t="s">
        <v>3</v>
      </c>
      <c r="F2068" s="12" t="s">
        <v>6200</v>
      </c>
    </row>
    <row x14ac:dyDescent="0.25" r="2069" customHeight="1" ht="18.75" hidden="1">
      <c r="A2069" s="12" t="s">
        <v>6201</v>
      </c>
      <c r="B2069" s="9">
        <v>42926</v>
      </c>
      <c r="C2069" s="12" t="s">
        <v>2</v>
      </c>
      <c r="D2069" s="12" t="s">
        <v>6202</v>
      </c>
      <c r="E2069" s="12" t="s">
        <v>2</v>
      </c>
      <c r="F2069" s="12" t="s">
        <v>6203</v>
      </c>
    </row>
    <row x14ac:dyDescent="0.25" r="2070" customHeight="1" ht="18.75" hidden="1">
      <c r="A2070" s="12" t="s">
        <v>6204</v>
      </c>
      <c r="B2070" s="9">
        <v>42906</v>
      </c>
      <c r="C2070" s="12" t="s">
        <v>3</v>
      </c>
      <c r="D2070" s="12" t="s">
        <v>6205</v>
      </c>
      <c r="E2070" s="12" t="s">
        <v>3</v>
      </c>
      <c r="F2070" s="12" t="s">
        <v>6206</v>
      </c>
    </row>
    <row x14ac:dyDescent="0.25" r="2071" customHeight="1" ht="18.75" hidden="1">
      <c r="A2071" s="12" t="s">
        <v>6207</v>
      </c>
      <c r="B2071" s="9">
        <v>42897</v>
      </c>
      <c r="C2071" s="12" t="s">
        <v>3</v>
      </c>
      <c r="D2071" s="12" t="s">
        <v>6208</v>
      </c>
      <c r="E2071" s="12" t="s">
        <v>3</v>
      </c>
      <c r="F2071" s="12" t="s">
        <v>6209</v>
      </c>
    </row>
    <row x14ac:dyDescent="0.25" r="2072" customHeight="1" ht="18.75">
      <c r="A2072" s="12" t="s">
        <v>6210</v>
      </c>
      <c r="B2072" s="9">
        <v>42880</v>
      </c>
      <c r="C2072" s="12" t="s">
        <v>101</v>
      </c>
      <c r="D2072" s="12" t="s">
        <v>6211</v>
      </c>
      <c r="E2072" s="12" t="s">
        <v>13</v>
      </c>
      <c r="F2072" s="12" t="s">
        <v>6212</v>
      </c>
    </row>
    <row x14ac:dyDescent="0.25" r="2073" customHeight="1" ht="18.75" hidden="1">
      <c r="A2073" s="12" t="s">
        <v>6213</v>
      </c>
      <c r="B2073" s="9">
        <v>42863</v>
      </c>
      <c r="C2073" s="12" t="s">
        <v>2</v>
      </c>
      <c r="D2073" s="12" t="s">
        <v>6214</v>
      </c>
      <c r="E2073" s="12" t="s">
        <v>2</v>
      </c>
      <c r="F2073" s="12" t="s">
        <v>6215</v>
      </c>
    </row>
    <row x14ac:dyDescent="0.25" r="2074" customHeight="1" ht="18.75">
      <c r="A2074" s="12" t="s">
        <v>6216</v>
      </c>
      <c r="B2074" s="9">
        <v>42861</v>
      </c>
      <c r="C2074" s="12" t="s">
        <v>101</v>
      </c>
      <c r="D2074" s="12" t="s">
        <v>6217</v>
      </c>
      <c r="E2074" s="12" t="s">
        <v>13</v>
      </c>
      <c r="F2074" s="12" t="s">
        <v>6218</v>
      </c>
    </row>
    <row x14ac:dyDescent="0.25" r="2075" customHeight="1" ht="18.75" hidden="1">
      <c r="A2075" s="12" t="s">
        <v>6219</v>
      </c>
      <c r="B2075" s="9">
        <v>42859</v>
      </c>
      <c r="C2075" s="12" t="s">
        <v>2</v>
      </c>
      <c r="D2075" s="12" t="s">
        <v>6220</v>
      </c>
      <c r="E2075" s="12" t="s">
        <v>2</v>
      </c>
      <c r="F2075" s="12" t="s">
        <v>6221</v>
      </c>
    </row>
    <row x14ac:dyDescent="0.25" r="2076" customHeight="1" ht="18.75" hidden="1">
      <c r="A2076" s="12" t="s">
        <v>6222</v>
      </c>
      <c r="B2076" s="9">
        <v>42857</v>
      </c>
      <c r="C2076" s="12" t="s">
        <v>3</v>
      </c>
      <c r="D2076" s="12" t="s">
        <v>6223</v>
      </c>
      <c r="E2076" s="12" t="s">
        <v>3</v>
      </c>
      <c r="F2076" s="12" t="s">
        <v>6224</v>
      </c>
    </row>
    <row x14ac:dyDescent="0.25" r="2077" customHeight="1" ht="18.75" hidden="1">
      <c r="A2077" s="12" t="s">
        <v>6225</v>
      </c>
      <c r="B2077" s="9">
        <v>42825</v>
      </c>
      <c r="C2077" s="12" t="s">
        <v>3</v>
      </c>
      <c r="D2077" s="12" t="s">
        <v>6226</v>
      </c>
      <c r="E2077" s="12" t="s">
        <v>3</v>
      </c>
      <c r="F2077" s="12" t="s">
        <v>6227</v>
      </c>
    </row>
    <row x14ac:dyDescent="0.25" r="2078" customHeight="1" ht="18.75">
      <c r="A2078" s="12" t="s">
        <v>6228</v>
      </c>
      <c r="B2078" s="9">
        <v>42811</v>
      </c>
      <c r="C2078" s="12" t="s">
        <v>13</v>
      </c>
      <c r="D2078" s="12" t="s">
        <v>6229</v>
      </c>
      <c r="E2078" s="12" t="s">
        <v>13</v>
      </c>
      <c r="F2078" s="12" t="s">
        <v>6230</v>
      </c>
    </row>
    <row x14ac:dyDescent="0.25" r="2079" customHeight="1" ht="18.75" hidden="1">
      <c r="A2079" s="12" t="s">
        <v>6231</v>
      </c>
      <c r="B2079" s="9">
        <v>42796</v>
      </c>
      <c r="C2079" s="12" t="s">
        <v>3</v>
      </c>
      <c r="D2079" s="12" t="s">
        <v>6232</v>
      </c>
      <c r="E2079" s="12" t="s">
        <v>3</v>
      </c>
      <c r="F2079" s="12" t="s">
        <v>6233</v>
      </c>
    </row>
    <row x14ac:dyDescent="0.25" r="2080" customHeight="1" ht="18.75" hidden="1">
      <c r="A2080" s="12" t="s">
        <v>6234</v>
      </c>
      <c r="B2080" s="9">
        <v>42766</v>
      </c>
      <c r="C2080" s="12" t="s">
        <v>3</v>
      </c>
      <c r="D2080" s="12" t="s">
        <v>6235</v>
      </c>
      <c r="E2080" s="12" t="s">
        <v>3</v>
      </c>
      <c r="F2080" s="12" t="s">
        <v>6236</v>
      </c>
    </row>
    <row x14ac:dyDescent="0.25" r="2081" customHeight="1" ht="18.75" hidden="1">
      <c r="A2081" s="12" t="s">
        <v>6237</v>
      </c>
      <c r="B2081" s="9">
        <v>42766</v>
      </c>
      <c r="C2081" s="12" t="s">
        <v>2</v>
      </c>
      <c r="D2081" s="12" t="s">
        <v>6238</v>
      </c>
      <c r="E2081" s="12" t="s">
        <v>2</v>
      </c>
      <c r="F2081" s="12" t="s">
        <v>6239</v>
      </c>
    </row>
    <row x14ac:dyDescent="0.25" r="2082" customHeight="1" ht="18.75">
      <c r="A2082" s="12" t="s">
        <v>6240</v>
      </c>
      <c r="B2082" s="9">
        <v>42756</v>
      </c>
      <c r="C2082" s="12" t="s">
        <v>101</v>
      </c>
      <c r="D2082" s="12" t="s">
        <v>6241</v>
      </c>
      <c r="E2082" s="12" t="s">
        <v>13</v>
      </c>
      <c r="F2082" s="12" t="s">
        <v>6242</v>
      </c>
    </row>
    <row x14ac:dyDescent="0.25" r="2083" customHeight="1" ht="18.75">
      <c r="A2083" s="12" t="s">
        <v>6243</v>
      </c>
      <c r="B2083" s="9">
        <v>42732</v>
      </c>
      <c r="C2083" s="12" t="s">
        <v>101</v>
      </c>
      <c r="D2083" s="12" t="s">
        <v>6244</v>
      </c>
      <c r="E2083" s="12" t="s">
        <v>13</v>
      </c>
      <c r="F2083" s="12" t="s">
        <v>6245</v>
      </c>
    </row>
    <row x14ac:dyDescent="0.25" r="2084" customHeight="1" ht="18.75">
      <c r="A2084" s="12" t="s">
        <v>6246</v>
      </c>
      <c r="B2084" s="9">
        <v>42682</v>
      </c>
      <c r="C2084" s="12" t="s">
        <v>101</v>
      </c>
      <c r="D2084" s="12" t="s">
        <v>6247</v>
      </c>
      <c r="E2084" s="12" t="s">
        <v>13</v>
      </c>
      <c r="F2084" s="12" t="s">
        <v>6248</v>
      </c>
    </row>
    <row x14ac:dyDescent="0.25" r="2085" customHeight="1" ht="18.75">
      <c r="A2085" s="12" t="s">
        <v>6249</v>
      </c>
      <c r="B2085" s="9">
        <v>42682</v>
      </c>
      <c r="C2085" s="12" t="s">
        <v>101</v>
      </c>
      <c r="D2085" s="12" t="s">
        <v>6250</v>
      </c>
      <c r="E2085" s="12" t="s">
        <v>4</v>
      </c>
      <c r="F2085" s="12" t="s">
        <v>6251</v>
      </c>
    </row>
    <row x14ac:dyDescent="0.25" r="2086" customHeight="1" ht="18.75">
      <c r="A2086" s="12" t="s">
        <v>6252</v>
      </c>
      <c r="B2086" s="9">
        <v>42596</v>
      </c>
      <c r="C2086" s="12" t="s">
        <v>13</v>
      </c>
      <c r="D2086" s="12" t="s">
        <v>6253</v>
      </c>
      <c r="E2086" s="12" t="s">
        <v>13</v>
      </c>
      <c r="F2086" s="12" t="s">
        <v>6254</v>
      </c>
    </row>
    <row x14ac:dyDescent="0.25" r="2087" customHeight="1" ht="18.75" hidden="1">
      <c r="A2087" s="12" t="s">
        <v>6255</v>
      </c>
      <c r="B2087" s="9">
        <v>42535</v>
      </c>
      <c r="C2087" s="12" t="s">
        <v>3</v>
      </c>
      <c r="D2087" s="12" t="s">
        <v>6256</v>
      </c>
      <c r="E2087" s="12" t="s">
        <v>3</v>
      </c>
      <c r="F2087" s="12" t="s">
        <v>6257</v>
      </c>
    </row>
    <row x14ac:dyDescent="0.25" r="2088" customHeight="1" ht="18.75" hidden="1">
      <c r="A2088" s="12" t="s">
        <v>6258</v>
      </c>
      <c r="B2088" s="9">
        <v>42529</v>
      </c>
      <c r="C2088" s="12" t="s">
        <v>3</v>
      </c>
      <c r="D2088" s="12" t="s">
        <v>6259</v>
      </c>
      <c r="E2088" s="12" t="s">
        <v>3</v>
      </c>
      <c r="F2088" s="12" t="s">
        <v>6260</v>
      </c>
    </row>
    <row x14ac:dyDescent="0.25" r="2089" customHeight="1" ht="18.75">
      <c r="A2089" s="12" t="s">
        <v>6261</v>
      </c>
      <c r="B2089" s="9">
        <v>42524</v>
      </c>
      <c r="C2089" s="12" t="s">
        <v>13</v>
      </c>
      <c r="D2089" s="12" t="s">
        <v>6262</v>
      </c>
      <c r="E2089" s="12" t="s">
        <v>13</v>
      </c>
      <c r="F2089" s="12" t="s">
        <v>6263</v>
      </c>
    </row>
    <row x14ac:dyDescent="0.25" r="2090" customHeight="1" ht="18.75" hidden="1">
      <c r="A2090" s="12" t="s">
        <v>6264</v>
      </c>
      <c r="B2090" s="9">
        <v>42507</v>
      </c>
      <c r="C2090" s="12" t="s">
        <v>2</v>
      </c>
      <c r="D2090" s="12" t="s">
        <v>6265</v>
      </c>
      <c r="E2090" s="12" t="s">
        <v>2</v>
      </c>
      <c r="F2090" s="12" t="s">
        <v>6266</v>
      </c>
    </row>
    <row x14ac:dyDescent="0.25" r="2091" customHeight="1" ht="18.75" hidden="1">
      <c r="A2091" s="12" t="s">
        <v>6267</v>
      </c>
      <c r="B2091" s="9">
        <v>42446</v>
      </c>
      <c r="C2091" s="12" t="s">
        <v>2</v>
      </c>
      <c r="D2091" s="12" t="s">
        <v>6268</v>
      </c>
      <c r="E2091" s="12" t="s">
        <v>2</v>
      </c>
      <c r="F2091" s="12" t="s">
        <v>6269</v>
      </c>
    </row>
    <row x14ac:dyDescent="0.25" r="2092" customHeight="1" ht="18.75" hidden="1">
      <c r="A2092" s="12" t="s">
        <v>6270</v>
      </c>
      <c r="B2092" s="9">
        <v>42422</v>
      </c>
      <c r="C2092" s="12" t="s">
        <v>2</v>
      </c>
      <c r="D2092" s="12" t="s">
        <v>6271</v>
      </c>
      <c r="E2092" s="12" t="s">
        <v>2</v>
      </c>
      <c r="F2092" s="12" t="s">
        <v>6272</v>
      </c>
    </row>
    <row x14ac:dyDescent="0.25" r="2093" customHeight="1" ht="18.75" hidden="1">
      <c r="A2093" s="12" t="s">
        <v>6273</v>
      </c>
      <c r="B2093" s="9">
        <v>42389</v>
      </c>
      <c r="C2093" s="12" t="s">
        <v>2</v>
      </c>
      <c r="D2093" s="12" t="s">
        <v>6274</v>
      </c>
      <c r="E2093" s="12" t="s">
        <v>2</v>
      </c>
      <c r="F2093" s="12" t="s">
        <v>6275</v>
      </c>
    </row>
    <row x14ac:dyDescent="0.25" r="2094" customHeight="1" ht="18.75" hidden="1">
      <c r="A2094" s="12" t="s">
        <v>6276</v>
      </c>
      <c r="B2094" s="9">
        <v>42384</v>
      </c>
      <c r="C2094" s="12" t="s">
        <v>3</v>
      </c>
      <c r="D2094" s="12" t="s">
        <v>6277</v>
      </c>
      <c r="E2094" s="12" t="s">
        <v>3</v>
      </c>
      <c r="F2094" s="12" t="s">
        <v>6278</v>
      </c>
    </row>
    <row x14ac:dyDescent="0.25" r="2095" customHeight="1" ht="18.75">
      <c r="A2095" s="12" t="s">
        <v>6279</v>
      </c>
      <c r="B2095" s="9">
        <v>42382</v>
      </c>
      <c r="C2095" s="12" t="s">
        <v>13</v>
      </c>
      <c r="D2095" s="12" t="s">
        <v>6280</v>
      </c>
      <c r="E2095" s="12" t="s">
        <v>13</v>
      </c>
      <c r="F2095" s="12" t="s">
        <v>6281</v>
      </c>
    </row>
    <row x14ac:dyDescent="0.25" r="2096" customHeight="1" ht="18.75">
      <c r="A2096" s="12" t="s">
        <v>6282</v>
      </c>
      <c r="B2096" s="9">
        <v>42380</v>
      </c>
      <c r="C2096" s="12" t="s">
        <v>13</v>
      </c>
      <c r="D2096" s="12" t="s">
        <v>6283</v>
      </c>
      <c r="E2096" s="12" t="s">
        <v>13</v>
      </c>
      <c r="F2096" s="12" t="s">
        <v>6284</v>
      </c>
    </row>
    <row x14ac:dyDescent="0.25" r="2097" customHeight="1" ht="18.75" hidden="1">
      <c r="A2097" s="12" t="s">
        <v>6285</v>
      </c>
      <c r="B2097" s="9">
        <v>42375</v>
      </c>
      <c r="C2097" s="12" t="s">
        <v>3</v>
      </c>
      <c r="D2097" s="12" t="s">
        <v>6286</v>
      </c>
      <c r="E2097" s="12" t="s">
        <v>3</v>
      </c>
      <c r="F2097" s="12" t="s">
        <v>6287</v>
      </c>
    </row>
    <row x14ac:dyDescent="0.25" r="2098" customHeight="1" ht="18.75" hidden="1">
      <c r="A2098" s="12" t="s">
        <v>6288</v>
      </c>
      <c r="B2098" s="9">
        <v>42375</v>
      </c>
      <c r="C2098" s="12" t="s">
        <v>3</v>
      </c>
      <c r="D2098" s="12" t="s">
        <v>6289</v>
      </c>
      <c r="E2098" s="12" t="s">
        <v>3</v>
      </c>
      <c r="F2098" s="12" t="s">
        <v>6290</v>
      </c>
    </row>
    <row x14ac:dyDescent="0.25" r="2099" customHeight="1" ht="18.75">
      <c r="A2099" s="12" t="s">
        <v>6291</v>
      </c>
      <c r="B2099" s="9">
        <v>42347</v>
      </c>
      <c r="C2099" s="12" t="s">
        <v>101</v>
      </c>
      <c r="D2099" s="12" t="s">
        <v>6292</v>
      </c>
      <c r="E2099" s="12" t="s">
        <v>13</v>
      </c>
      <c r="F2099" s="12" t="s">
        <v>6293</v>
      </c>
    </row>
    <row x14ac:dyDescent="0.25" r="2100" customHeight="1" ht="18.75">
      <c r="A2100" s="12" t="s">
        <v>6294</v>
      </c>
      <c r="B2100" s="9">
        <v>42328</v>
      </c>
      <c r="C2100" s="12" t="s">
        <v>101</v>
      </c>
      <c r="D2100" s="12" t="s">
        <v>6295</v>
      </c>
      <c r="E2100" s="12" t="s">
        <v>13</v>
      </c>
      <c r="F2100" s="12" t="s">
        <v>6296</v>
      </c>
    </row>
    <row x14ac:dyDescent="0.25" r="2101" customHeight="1" ht="18.75">
      <c r="A2101" s="12" t="s">
        <v>6297</v>
      </c>
      <c r="B2101" s="9">
        <v>42328</v>
      </c>
      <c r="C2101" s="12" t="s">
        <v>13</v>
      </c>
      <c r="D2101" s="12" t="s">
        <v>6298</v>
      </c>
      <c r="E2101" s="12" t="s">
        <v>13</v>
      </c>
      <c r="F2101" s="12" t="s">
        <v>6299</v>
      </c>
    </row>
    <row x14ac:dyDescent="0.25" r="2102" customHeight="1" ht="18.75">
      <c r="A2102" s="12" t="s">
        <v>6300</v>
      </c>
      <c r="B2102" s="9">
        <v>42328</v>
      </c>
      <c r="C2102" s="12" t="s">
        <v>13</v>
      </c>
      <c r="D2102" s="12" t="s">
        <v>6301</v>
      </c>
      <c r="E2102" s="12" t="s">
        <v>13</v>
      </c>
      <c r="F2102" s="12" t="s">
        <v>6302</v>
      </c>
    </row>
    <row x14ac:dyDescent="0.25" r="2103" customHeight="1" ht="18.75" hidden="1">
      <c r="A2103" s="12" t="s">
        <v>6303</v>
      </c>
      <c r="B2103" s="9">
        <v>42236</v>
      </c>
      <c r="C2103" s="12" t="s">
        <v>3</v>
      </c>
      <c r="D2103" s="12" t="s">
        <v>6304</v>
      </c>
      <c r="E2103" s="12" t="s">
        <v>3</v>
      </c>
      <c r="F2103" s="12" t="s">
        <v>6305</v>
      </c>
    </row>
    <row x14ac:dyDescent="0.25" r="2104" customHeight="1" ht="18.75" hidden="1">
      <c r="A2104" s="12" t="s">
        <v>6306</v>
      </c>
      <c r="B2104" s="9">
        <v>42236</v>
      </c>
      <c r="C2104" s="12" t="s">
        <v>3</v>
      </c>
      <c r="D2104" s="12" t="s">
        <v>6307</v>
      </c>
      <c r="E2104" s="12" t="s">
        <v>2</v>
      </c>
      <c r="F2104" s="12" t="s">
        <v>6308</v>
      </c>
    </row>
    <row x14ac:dyDescent="0.25" r="2105" customHeight="1" ht="18.75">
      <c r="A2105" s="12" t="s">
        <v>6309</v>
      </c>
      <c r="B2105" s="9">
        <v>42222</v>
      </c>
      <c r="C2105" s="12" t="s">
        <v>101</v>
      </c>
      <c r="D2105" s="12" t="s">
        <v>6310</v>
      </c>
      <c r="E2105" s="12" t="s">
        <v>13</v>
      </c>
      <c r="F2105" s="12" t="s">
        <v>6311</v>
      </c>
    </row>
    <row x14ac:dyDescent="0.25" r="2106" customHeight="1" ht="18.75">
      <c r="A2106" s="12" t="s">
        <v>6312</v>
      </c>
      <c r="B2106" s="9">
        <v>42212</v>
      </c>
      <c r="C2106" s="12" t="s">
        <v>13</v>
      </c>
      <c r="D2106" s="12" t="s">
        <v>6313</v>
      </c>
      <c r="E2106" s="12" t="s">
        <v>13</v>
      </c>
      <c r="F2106" s="12" t="s">
        <v>6314</v>
      </c>
    </row>
    <row x14ac:dyDescent="0.25" r="2107" customHeight="1" ht="18.75" hidden="1">
      <c r="A2107" s="12" t="s">
        <v>6315</v>
      </c>
      <c r="B2107" s="9">
        <v>42191</v>
      </c>
      <c r="C2107" s="12" t="s">
        <v>3</v>
      </c>
      <c r="D2107" s="12" t="s">
        <v>6316</v>
      </c>
      <c r="E2107" s="12" t="s">
        <v>3</v>
      </c>
      <c r="F2107" s="12" t="s">
        <v>6317</v>
      </c>
    </row>
    <row x14ac:dyDescent="0.25" r="2108" customHeight="1" ht="18.75" hidden="1">
      <c r="A2108" s="12" t="s">
        <v>6318</v>
      </c>
      <c r="B2108" s="9">
        <v>42167</v>
      </c>
      <c r="C2108" s="12" t="s">
        <v>2</v>
      </c>
      <c r="D2108" s="12" t="s">
        <v>6319</v>
      </c>
      <c r="E2108" s="12" t="s">
        <v>2</v>
      </c>
      <c r="F2108" s="12" t="s">
        <v>6320</v>
      </c>
    </row>
    <row x14ac:dyDescent="0.25" r="2109" customHeight="1" ht="18.75">
      <c r="A2109" s="12" t="s">
        <v>6321</v>
      </c>
      <c r="B2109" s="9">
        <v>42141</v>
      </c>
      <c r="C2109" s="12" t="s">
        <v>13</v>
      </c>
      <c r="D2109" s="12" t="s">
        <v>6322</v>
      </c>
      <c r="E2109" s="12" t="s">
        <v>13</v>
      </c>
      <c r="F2109" s="12" t="s">
        <v>6323</v>
      </c>
    </row>
    <row x14ac:dyDescent="0.25" r="2110" customHeight="1" ht="18.75" hidden="1">
      <c r="A2110" s="12" t="s">
        <v>6324</v>
      </c>
      <c r="B2110" s="9">
        <v>42139</v>
      </c>
      <c r="C2110" s="12" t="s">
        <v>2</v>
      </c>
      <c r="D2110" s="12" t="s">
        <v>6325</v>
      </c>
      <c r="E2110" s="12" t="s">
        <v>2</v>
      </c>
      <c r="F2110" s="12" t="s">
        <v>6326</v>
      </c>
    </row>
    <row x14ac:dyDescent="0.25" r="2111" customHeight="1" ht="18.75">
      <c r="A2111" s="12" t="s">
        <v>6327</v>
      </c>
      <c r="B2111" s="9">
        <v>42123</v>
      </c>
      <c r="C2111" s="12" t="s">
        <v>101</v>
      </c>
      <c r="D2111" s="12" t="s">
        <v>6328</v>
      </c>
      <c r="E2111" s="12" t="s">
        <v>13</v>
      </c>
      <c r="F2111" s="12" t="s">
        <v>6329</v>
      </c>
    </row>
    <row x14ac:dyDescent="0.25" r="2112" customHeight="1" ht="18.75">
      <c r="A2112" s="12" t="s">
        <v>6330</v>
      </c>
      <c r="B2112" s="9">
        <v>42122</v>
      </c>
      <c r="C2112" s="12" t="s">
        <v>13</v>
      </c>
      <c r="D2112" s="12" t="s">
        <v>6331</v>
      </c>
      <c r="E2112" s="12" t="s">
        <v>13</v>
      </c>
      <c r="F2112" s="12" t="s">
        <v>6332</v>
      </c>
    </row>
    <row x14ac:dyDescent="0.25" r="2113" customHeight="1" ht="18.75">
      <c r="A2113" s="12" t="s">
        <v>6333</v>
      </c>
      <c r="B2113" s="9">
        <v>42082</v>
      </c>
      <c r="C2113" s="12" t="s">
        <v>13</v>
      </c>
      <c r="D2113" s="12" t="s">
        <v>6334</v>
      </c>
      <c r="E2113" s="12" t="s">
        <v>13</v>
      </c>
      <c r="F2113" s="12" t="s">
        <v>6335</v>
      </c>
    </row>
    <row x14ac:dyDescent="0.25" r="2114" customHeight="1" ht="18.75" hidden="1">
      <c r="A2114" s="12" t="s">
        <v>6336</v>
      </c>
      <c r="B2114" s="9">
        <v>42072</v>
      </c>
      <c r="C2114" s="12" t="s">
        <v>3</v>
      </c>
      <c r="D2114" s="12" t="s">
        <v>6337</v>
      </c>
      <c r="E2114" s="12" t="s">
        <v>3</v>
      </c>
      <c r="F2114" s="12" t="s">
        <v>6338</v>
      </c>
    </row>
    <row x14ac:dyDescent="0.25" r="2115" customHeight="1" ht="18.75">
      <c r="A2115" s="12" t="s">
        <v>6339</v>
      </c>
      <c r="B2115" s="9">
        <v>42066</v>
      </c>
      <c r="C2115" s="12" t="s">
        <v>13</v>
      </c>
      <c r="D2115" s="12" t="s">
        <v>6340</v>
      </c>
      <c r="E2115" s="12" t="s">
        <v>13</v>
      </c>
      <c r="F2115" s="12" t="s">
        <v>6341</v>
      </c>
    </row>
    <row x14ac:dyDescent="0.25" r="2116" customHeight="1" ht="18.75" hidden="1">
      <c r="A2116" s="12" t="s">
        <v>6342</v>
      </c>
      <c r="B2116" s="9">
        <v>42019</v>
      </c>
      <c r="C2116" s="12" t="s">
        <v>3</v>
      </c>
      <c r="D2116" s="12" t="s">
        <v>6343</v>
      </c>
      <c r="E2116" s="12" t="s">
        <v>3</v>
      </c>
      <c r="F2116" s="12" t="s">
        <v>6344</v>
      </c>
    </row>
    <row x14ac:dyDescent="0.25" r="2117" customHeight="1" ht="18.75">
      <c r="A2117" s="12" t="s">
        <v>6345</v>
      </c>
      <c r="B2117" s="9">
        <v>42013</v>
      </c>
      <c r="C2117" s="12" t="s">
        <v>13</v>
      </c>
      <c r="D2117" s="12" t="s">
        <v>6346</v>
      </c>
      <c r="E2117" s="12" t="s">
        <v>13</v>
      </c>
      <c r="F2117" s="12" t="s">
        <v>6347</v>
      </c>
    </row>
    <row x14ac:dyDescent="0.25" r="2118" customHeight="1" ht="18.75" hidden="1">
      <c r="A2118" s="12" t="s">
        <v>6348</v>
      </c>
      <c r="B2118" s="9">
        <v>42009</v>
      </c>
      <c r="C2118" s="12" t="s">
        <v>3</v>
      </c>
      <c r="D2118" s="12" t="s">
        <v>6349</v>
      </c>
      <c r="E2118" s="12" t="s">
        <v>3</v>
      </c>
      <c r="F2118" s="12" t="s">
        <v>6350</v>
      </c>
    </row>
    <row x14ac:dyDescent="0.25" r="2119" customHeight="1" ht="18.75">
      <c r="A2119" s="12" t="s">
        <v>6351</v>
      </c>
      <c r="B2119" s="9">
        <v>41919</v>
      </c>
      <c r="C2119" s="12" t="s">
        <v>13</v>
      </c>
      <c r="D2119" s="12" t="s">
        <v>6352</v>
      </c>
      <c r="E2119" s="12" t="s">
        <v>13</v>
      </c>
      <c r="F2119" s="12" t="s">
        <v>6353</v>
      </c>
    </row>
    <row x14ac:dyDescent="0.25" r="2120" customHeight="1" ht="18.75">
      <c r="A2120" s="12" t="s">
        <v>6354</v>
      </c>
      <c r="B2120" s="9">
        <v>41718</v>
      </c>
      <c r="C2120" s="12" t="s">
        <v>13</v>
      </c>
      <c r="D2120" s="12" t="s">
        <v>6355</v>
      </c>
      <c r="E2120" s="12" t="s">
        <v>13</v>
      </c>
      <c r="F2120" s="12" t="s">
        <v>6356</v>
      </c>
    </row>
    <row x14ac:dyDescent="0.25" r="2121" customHeight="1" ht="18.75" hidden="1">
      <c r="A2121" s="12" t="s">
        <v>6357</v>
      </c>
      <c r="B2121" s="9">
        <v>41572</v>
      </c>
      <c r="C2121" s="12" t="s">
        <v>2</v>
      </c>
      <c r="D2121" s="12" t="s">
        <v>6358</v>
      </c>
      <c r="E2121" s="12" t="s">
        <v>2</v>
      </c>
      <c r="F2121" s="12" t="s">
        <v>6359</v>
      </c>
    </row>
    <row x14ac:dyDescent="0.25" r="2122" customHeight="1" ht="18.75">
      <c r="A2122" s="12" t="s">
        <v>6360</v>
      </c>
      <c r="B2122" s="9">
        <v>41451</v>
      </c>
      <c r="C2122" s="12" t="s">
        <v>101</v>
      </c>
      <c r="D2122" s="12" t="s">
        <v>6361</v>
      </c>
      <c r="E2122" s="12" t="s">
        <v>13</v>
      </c>
      <c r="F2122" s="12" t="s">
        <v>6362</v>
      </c>
    </row>
    <row x14ac:dyDescent="0.25" r="2123" customHeight="1" ht="18.75" hidden="1">
      <c r="A2123" s="12" t="s">
        <v>6363</v>
      </c>
      <c r="B2123" s="9">
        <v>41248</v>
      </c>
      <c r="C2123" s="12" t="s">
        <v>3</v>
      </c>
      <c r="D2123" s="12" t="s">
        <v>6364</v>
      </c>
      <c r="E2123" s="12" t="s">
        <v>3</v>
      </c>
      <c r="F2123" s="12" t="s">
        <v>6365</v>
      </c>
    </row>
    <row x14ac:dyDescent="0.25" r="2124" customHeight="1" ht="18.75">
      <c r="A2124" s="12" t="s">
        <v>6366</v>
      </c>
      <c r="B2124" s="9">
        <v>41169</v>
      </c>
      <c r="C2124" s="12" t="s">
        <v>101</v>
      </c>
      <c r="D2124" s="12" t="s">
        <v>6367</v>
      </c>
      <c r="E2124" s="12" t="s">
        <v>13</v>
      </c>
      <c r="F2124" s="12" t="s">
        <v>6368</v>
      </c>
    </row>
    <row x14ac:dyDescent="0.25" r="2125" customHeight="1" ht="18.75" hidden="1">
      <c r="A2125" s="12" t="s">
        <v>6369</v>
      </c>
      <c r="B2125" s="9">
        <v>41140</v>
      </c>
      <c r="C2125" s="12" t="s">
        <v>2</v>
      </c>
      <c r="D2125" s="12" t="s">
        <v>6370</v>
      </c>
      <c r="E2125" s="12" t="s">
        <v>2</v>
      </c>
      <c r="F2125" s="12" t="s">
        <v>6371</v>
      </c>
    </row>
    <row x14ac:dyDescent="0.25" r="2126" customHeight="1" ht="18.75" hidden="1">
      <c r="A2126" s="12" t="s">
        <v>6372</v>
      </c>
      <c r="B2126" s="9">
        <v>41087</v>
      </c>
      <c r="C2126" s="12" t="s">
        <v>2</v>
      </c>
      <c r="D2126" s="12" t="s">
        <v>6373</v>
      </c>
      <c r="E2126" s="12" t="s">
        <v>2</v>
      </c>
      <c r="F2126" s="12" t="s">
        <v>6374</v>
      </c>
    </row>
    <row x14ac:dyDescent="0.25" r="2127" customHeight="1" ht="18.75" hidden="1">
      <c r="A2127" s="12" t="s">
        <v>6375</v>
      </c>
      <c r="B2127" s="9">
        <v>41087</v>
      </c>
      <c r="C2127" s="12" t="s">
        <v>2</v>
      </c>
      <c r="D2127" s="12" t="s">
        <v>6376</v>
      </c>
      <c r="E2127" s="12" t="s">
        <v>2</v>
      </c>
      <c r="F2127" s="12" t="s">
        <v>6377</v>
      </c>
    </row>
    <row x14ac:dyDescent="0.25" r="2128" customHeight="1" ht="18.75">
      <c r="A2128" s="12" t="s">
        <v>6378</v>
      </c>
      <c r="B2128" s="9">
        <v>41033</v>
      </c>
      <c r="C2128" s="12" t="s">
        <v>13</v>
      </c>
      <c r="D2128" s="12" t="s">
        <v>6379</v>
      </c>
      <c r="E2128" s="12" t="s">
        <v>13</v>
      </c>
      <c r="F2128" s="12" t="s">
        <v>6380</v>
      </c>
    </row>
    <row x14ac:dyDescent="0.25" r="2129" customHeight="1" ht="18.75" hidden="1">
      <c r="A2129" s="12" t="s">
        <v>6381</v>
      </c>
      <c r="B2129" s="9">
        <v>40962</v>
      </c>
      <c r="C2129" s="12" t="s">
        <v>2</v>
      </c>
      <c r="D2129" s="12" t="s">
        <v>6382</v>
      </c>
      <c r="E2129" s="12" t="s">
        <v>2</v>
      </c>
      <c r="F2129" s="12" t="s">
        <v>6383</v>
      </c>
    </row>
    <row x14ac:dyDescent="0.25" r="2130" customHeight="1" ht="18.75" hidden="1">
      <c r="A2130" s="12" t="s">
        <v>6384</v>
      </c>
      <c r="B2130" s="9">
        <v>40872</v>
      </c>
      <c r="C2130" s="12" t="s">
        <v>101</v>
      </c>
      <c r="D2130" s="12" t="s">
        <v>6385</v>
      </c>
      <c r="E2130" s="12" t="s">
        <v>2</v>
      </c>
      <c r="F2130" s="12" t="s">
        <v>6386</v>
      </c>
    </row>
    <row x14ac:dyDescent="0.25" r="2131" customHeight="1" ht="18.75" hidden="1">
      <c r="A2131" s="12" t="s">
        <v>6387</v>
      </c>
      <c r="B2131" s="9">
        <v>40803</v>
      </c>
      <c r="C2131" s="12" t="s">
        <v>2</v>
      </c>
      <c r="D2131" s="12" t="s">
        <v>6388</v>
      </c>
      <c r="E2131" s="12" t="s">
        <v>2</v>
      </c>
      <c r="F2131" s="12" t="s">
        <v>6389</v>
      </c>
    </row>
    <row x14ac:dyDescent="0.25" r="2132" customHeight="1" ht="18.75" hidden="1">
      <c r="A2132" s="12" t="s">
        <v>6390</v>
      </c>
      <c r="B2132" s="9">
        <v>40739</v>
      </c>
      <c r="C2132" s="12" t="s">
        <v>2</v>
      </c>
      <c r="D2132" s="12" t="s">
        <v>6391</v>
      </c>
      <c r="E2132" s="12" t="s">
        <v>2</v>
      </c>
      <c r="F2132" s="12" t="s">
        <v>6392</v>
      </c>
    </row>
    <row x14ac:dyDescent="0.25" r="2133" customHeight="1" ht="18.75" hidden="1">
      <c r="A2133" s="12" t="s">
        <v>6393</v>
      </c>
      <c r="B2133" s="9">
        <v>40620</v>
      </c>
      <c r="C2133" s="12" t="s">
        <v>2</v>
      </c>
      <c r="D2133" s="12" t="s">
        <v>6394</v>
      </c>
      <c r="E2133" s="12" t="s">
        <v>2</v>
      </c>
      <c r="F2133" s="12" t="s">
        <v>6395</v>
      </c>
    </row>
    <row x14ac:dyDescent="0.25" r="2134" customHeight="1" ht="18.75">
      <c r="A2134" s="12" t="s">
        <v>6396</v>
      </c>
      <c r="B2134" s="9">
        <v>40605</v>
      </c>
      <c r="C2134" s="12" t="s">
        <v>13</v>
      </c>
      <c r="D2134" s="12" t="s">
        <v>6397</v>
      </c>
      <c r="E2134" s="12" t="s">
        <v>13</v>
      </c>
      <c r="F2134" s="12" t="s">
        <v>6398</v>
      </c>
    </row>
    <row x14ac:dyDescent="0.25" r="2135" customHeight="1" ht="18.75" hidden="1">
      <c r="A2135" s="12" t="s">
        <v>6399</v>
      </c>
      <c r="B2135" s="9">
        <v>40429</v>
      </c>
      <c r="C2135" s="12" t="s">
        <v>2</v>
      </c>
      <c r="D2135" s="12" t="s">
        <v>6400</v>
      </c>
      <c r="E2135" s="12" t="s">
        <v>2</v>
      </c>
      <c r="F2135" s="12" t="s">
        <v>6401</v>
      </c>
    </row>
    <row x14ac:dyDescent="0.25" r="2136" customHeight="1" ht="18.75" hidden="1">
      <c r="A2136" s="12" t="s">
        <v>6402</v>
      </c>
      <c r="B2136" s="9">
        <v>40428</v>
      </c>
      <c r="C2136" s="12" t="s">
        <v>2</v>
      </c>
      <c r="D2136" s="12" t="s">
        <v>6403</v>
      </c>
      <c r="E2136" s="12" t="s">
        <v>2</v>
      </c>
      <c r="F2136" s="12" t="s">
        <v>6404</v>
      </c>
    </row>
    <row x14ac:dyDescent="0.25" r="2137" customHeight="1" ht="18.75">
      <c r="A2137" s="12" t="s">
        <v>6405</v>
      </c>
      <c r="B2137" s="9">
        <v>40425</v>
      </c>
      <c r="C2137" s="12" t="s">
        <v>13</v>
      </c>
      <c r="D2137" s="12" t="s">
        <v>6406</v>
      </c>
      <c r="E2137" s="12" t="s">
        <v>13</v>
      </c>
      <c r="F2137" s="12" t="s">
        <v>6407</v>
      </c>
    </row>
    <row x14ac:dyDescent="0.25" r="2138" customHeight="1" ht="18.75" hidden="1">
      <c r="A2138" s="12" t="s">
        <v>6408</v>
      </c>
      <c r="B2138" s="9">
        <v>40296</v>
      </c>
      <c r="C2138" s="12" t="s">
        <v>3</v>
      </c>
      <c r="D2138" s="12" t="s">
        <v>6409</v>
      </c>
      <c r="E2138" s="12" t="s">
        <v>3</v>
      </c>
      <c r="F2138" s="12" t="s">
        <v>6410</v>
      </c>
    </row>
    <row x14ac:dyDescent="0.25" r="2139" customHeight="1" ht="18.75">
      <c r="A2139" s="12" t="s">
        <v>6411</v>
      </c>
      <c r="B2139" s="9">
        <v>40154</v>
      </c>
      <c r="C2139" s="12" t="s">
        <v>13</v>
      </c>
      <c r="D2139" s="12" t="s">
        <v>6412</v>
      </c>
      <c r="E2139" s="12" t="s">
        <v>13</v>
      </c>
      <c r="F2139" s="12" t="s">
        <v>6413</v>
      </c>
    </row>
    <row x14ac:dyDescent="0.25" r="2140" customHeight="1" ht="18.75">
      <c r="A2140" s="12" t="s">
        <v>6414</v>
      </c>
      <c r="B2140" s="9">
        <v>40120</v>
      </c>
      <c r="C2140" s="12" t="s">
        <v>13</v>
      </c>
      <c r="D2140" s="12" t="s">
        <v>6415</v>
      </c>
      <c r="E2140" s="12" t="s">
        <v>13</v>
      </c>
      <c r="F2140" s="12" t="s">
        <v>6416</v>
      </c>
    </row>
    <row x14ac:dyDescent="0.25" r="2141" customHeight="1" ht="18.75">
      <c r="A2141" s="12" t="s">
        <v>6417</v>
      </c>
      <c r="B2141" s="9">
        <v>40012</v>
      </c>
      <c r="C2141" s="12" t="s">
        <v>13</v>
      </c>
      <c r="D2141" s="12" t="s">
        <v>6418</v>
      </c>
      <c r="E2141" s="12" t="s">
        <v>13</v>
      </c>
      <c r="F2141" s="12" t="s">
        <v>6419</v>
      </c>
    </row>
    <row x14ac:dyDescent="0.25" r="2142" customHeight="1" ht="18.75">
      <c r="A2142" s="12" t="s">
        <v>6420</v>
      </c>
      <c r="B2142" s="9">
        <v>39836</v>
      </c>
      <c r="C2142" s="12" t="s">
        <v>13</v>
      </c>
      <c r="D2142" s="12" t="s">
        <v>6421</v>
      </c>
      <c r="E2142" s="12" t="s">
        <v>13</v>
      </c>
      <c r="F2142" s="12" t="s">
        <v>6422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751"/>
  <sheetViews>
    <sheetView workbookViewId="0"/>
  </sheetViews>
  <sheetFormatPr defaultRowHeight="15" x14ac:dyDescent="0.25"/>
  <cols>
    <col min="1" max="1" style="17" width="9.862142857142858" customWidth="1" bestFit="1"/>
    <col min="2" max="2" style="18" width="9.862142857142858" customWidth="1" bestFit="1"/>
    <col min="3" max="3" style="18" width="13.576428571428572" customWidth="1" bestFit="1"/>
    <col min="4" max="4" style="18" width="13.576428571428572" customWidth="1" bestFit="1" hidden="1"/>
    <col min="5" max="5" style="19" width="13.576428571428572" customWidth="1" bestFit="1"/>
    <col min="6" max="6" style="18" width="14.43357142857143" customWidth="1" bestFit="1"/>
    <col min="7" max="7" style="20" width="13.576428571428572" customWidth="1" bestFit="1"/>
    <col min="8" max="8" style="21" width="13.576428571428572" customWidth="1" bestFit="1"/>
  </cols>
  <sheetData>
    <row x14ac:dyDescent="0.25" r="1" customHeight="1" ht="18.75">
      <c r="A1" s="9">
        <f>_xlfn.UNIQUE(sentiment_v2_with_reasoning!B:B)</f>
      </c>
      <c r="B1" s="10" t="s">
        <v>2</v>
      </c>
      <c r="C1" s="10" t="s">
        <v>3</v>
      </c>
      <c r="D1" s="10" t="s">
        <v>4</v>
      </c>
      <c r="E1" s="11" t="s">
        <v>5</v>
      </c>
      <c r="F1" s="10" t="s">
        <v>6</v>
      </c>
      <c r="G1" s="12"/>
      <c r="H1" s="13"/>
    </row>
    <row x14ac:dyDescent="0.25" r="2" customHeight="1" ht="18.75" hidden="1">
      <c r="A2" s="9">
        <v>45980</v>
      </c>
      <c r="B2" s="14">
        <f>COUNTIFS(Table1[Date],Sheet1!$A2,Table1[Sentiment V1],Sheet1!B$1)</f>
      </c>
      <c r="C2" s="14">
        <f>COUNTIFS(Table1[Date],Sheet1!$A2,Table1[Sentiment V1],Sheet1!C$1)</f>
      </c>
      <c r="D2" s="14">
        <f>COUNTIFS(Table1[Date],Sheet1!$A2,Table1[Sentiment V1],Sheet1!D$1)</f>
      </c>
      <c r="E2" s="15">
        <f>SUMIFS(Sheet2!B:B,Sheet2!A:A,Sheet1!A2)</f>
      </c>
      <c r="F2" s="14">
        <f>B2-C2</f>
      </c>
      <c r="G2" s="12"/>
      <c r="H2" s="13"/>
    </row>
    <row x14ac:dyDescent="0.25" r="3" customHeight="1" ht="18.75" hidden="1">
      <c r="A3" s="9">
        <v>45839</v>
      </c>
      <c r="B3" s="14">
        <f>COUNTIFS(Table1[Date],Sheet1!$A3,Table1[Sentiment V1],Sheet1!B$1)</f>
      </c>
      <c r="C3" s="14">
        <f>COUNTIFS(Table1[Date],Sheet1!$A3,Table1[Sentiment V1],Sheet1!C$1)</f>
      </c>
      <c r="D3" s="14">
        <f>COUNTIFS(Table1[Date],Sheet1!$A3,Table1[Sentiment V1],Sheet1!D$1)</f>
      </c>
      <c r="E3" s="15">
        <f>SUMIFS(Sheet2!B:B,Sheet2!A:A,Sheet1!A3)</f>
      </c>
      <c r="F3" s="14">
        <f>B3-C3</f>
      </c>
      <c r="G3" s="12"/>
      <c r="H3" s="13"/>
    </row>
    <row x14ac:dyDescent="0.25" r="4" customHeight="1" ht="18.75">
      <c r="A4" s="9">
        <v>45826</v>
      </c>
      <c r="B4" s="14">
        <f>COUNTIFS(Table1[Date],Sheet1!$A4,Table1[Sentiment V1],Sheet1!B$1)</f>
      </c>
      <c r="C4" s="14">
        <f>COUNTIFS(Table1[Date],Sheet1!$A4,Table1[Sentiment V1],Sheet1!C$1)</f>
      </c>
      <c r="D4" s="14">
        <f>COUNTIFS(Table1[Date],Sheet1!$A4,Table1[Sentiment V1],Sheet1!D$1)</f>
      </c>
      <c r="E4" s="16">
        <f>SUMIFS(Sheet2!B:B,Sheet2!A:A,Sheet1!A4)</f>
      </c>
      <c r="F4" s="14">
        <f>B4-C4</f>
      </c>
      <c r="G4" s="12"/>
      <c r="H4" s="16">
        <f>CORREL(E4:E656,F5:F657)</f>
      </c>
    </row>
    <row x14ac:dyDescent="0.25" r="5" customHeight="1" ht="18.75">
      <c r="A5" s="9">
        <v>45825</v>
      </c>
      <c r="B5" s="14">
        <f>COUNTIFS(Table1[Date],Sheet1!$A5,Table1[Sentiment V1],Sheet1!B$1)</f>
      </c>
      <c r="C5" s="14">
        <f>COUNTIFS(Table1[Date],Sheet1!$A5,Table1[Sentiment V1],Sheet1!C$1)</f>
      </c>
      <c r="D5" s="14">
        <f>COUNTIFS(Table1[Date],Sheet1!$A5,Table1[Sentiment V1],Sheet1!D$1)</f>
      </c>
      <c r="E5" s="16">
        <f>SUMIFS(Sheet2!B:B,Sheet2!A:A,Sheet1!A5)</f>
      </c>
      <c r="F5" s="14">
        <f>B5-C5</f>
      </c>
      <c r="G5" s="12"/>
      <c r="H5" s="13"/>
    </row>
    <row x14ac:dyDescent="0.25" r="6" customHeight="1" ht="18.75">
      <c r="A6" s="9">
        <v>45824</v>
      </c>
      <c r="B6" s="14">
        <f>COUNTIFS(Table1[Date],Sheet1!$A6,Table1[Sentiment V1],Sheet1!B$1)</f>
      </c>
      <c r="C6" s="14">
        <f>COUNTIFS(Table1[Date],Sheet1!$A6,Table1[Sentiment V1],Sheet1!C$1)</f>
      </c>
      <c r="D6" s="14">
        <f>COUNTIFS(Table1[Date],Sheet1!$A6,Table1[Sentiment V1],Sheet1!D$1)</f>
      </c>
      <c r="E6" s="16">
        <f>SUMIFS(Sheet2!B:B,Sheet2!A:A,Sheet1!A6)</f>
      </c>
      <c r="F6" s="14">
        <f>B6-C6</f>
      </c>
      <c r="G6" s="12"/>
      <c r="H6" s="13"/>
    </row>
    <row x14ac:dyDescent="0.25" r="7" customHeight="1" ht="18.75" hidden="1">
      <c r="A7" s="9">
        <v>45823</v>
      </c>
      <c r="B7" s="14">
        <f>COUNTIFS(Table1[Date],Sheet1!$A7,Table1[Sentiment V1],Sheet1!B$1)</f>
      </c>
      <c r="C7" s="14">
        <f>COUNTIFS(Table1[Date],Sheet1!$A7,Table1[Sentiment V1],Sheet1!C$1)</f>
      </c>
      <c r="D7" s="14">
        <f>COUNTIFS(Table1[Date],Sheet1!$A7,Table1[Sentiment V1],Sheet1!D$1)</f>
      </c>
      <c r="E7" s="15">
        <f>SUMIFS(Sheet2!B:B,Sheet2!A:A,Sheet1!A7)</f>
      </c>
      <c r="F7" s="14">
        <f>B7-C7</f>
      </c>
      <c r="G7" s="12"/>
      <c r="H7" s="13"/>
    </row>
    <row x14ac:dyDescent="0.25" r="8" customHeight="1" ht="18.75" hidden="1">
      <c r="A8" s="9">
        <v>45822</v>
      </c>
      <c r="B8" s="14">
        <f>COUNTIFS(Table1[Date],Sheet1!$A8,Table1[Sentiment V1],Sheet1!B$1)</f>
      </c>
      <c r="C8" s="14">
        <f>COUNTIFS(Table1[Date],Sheet1!$A8,Table1[Sentiment V1],Sheet1!C$1)</f>
      </c>
      <c r="D8" s="14">
        <f>COUNTIFS(Table1[Date],Sheet1!$A8,Table1[Sentiment V1],Sheet1!D$1)</f>
      </c>
      <c r="E8" s="15">
        <f>SUMIFS(Sheet2!B:B,Sheet2!A:A,Sheet1!A8)</f>
      </c>
      <c r="F8" s="14">
        <f>B8-C8</f>
      </c>
      <c r="G8" s="12"/>
      <c r="H8" s="13"/>
    </row>
    <row x14ac:dyDescent="0.25" r="9" customHeight="1" ht="18.75">
      <c r="A9" s="9">
        <v>45821</v>
      </c>
      <c r="B9" s="14">
        <f>COUNTIFS(Table1[Date],Sheet1!$A9,Table1[Sentiment V1],Sheet1!B$1)</f>
      </c>
      <c r="C9" s="14">
        <f>COUNTIFS(Table1[Date],Sheet1!$A9,Table1[Sentiment V1],Sheet1!C$1)</f>
      </c>
      <c r="D9" s="14">
        <f>COUNTIFS(Table1[Date],Sheet1!$A9,Table1[Sentiment V1],Sheet1!D$1)</f>
      </c>
      <c r="E9" s="16">
        <f>SUMIFS(Sheet2!B:B,Sheet2!A:A,Sheet1!A9)</f>
      </c>
      <c r="F9" s="14">
        <f>B9-C9</f>
      </c>
      <c r="G9" s="12"/>
      <c r="H9" s="13"/>
    </row>
    <row x14ac:dyDescent="0.25" r="10" customHeight="1" ht="18.75">
      <c r="A10" s="9">
        <v>45820</v>
      </c>
      <c r="B10" s="14">
        <f>COUNTIFS(Table1[Date],Sheet1!$A10,Table1[Sentiment V1],Sheet1!B$1)</f>
      </c>
      <c r="C10" s="14">
        <f>COUNTIFS(Table1[Date],Sheet1!$A10,Table1[Sentiment V1],Sheet1!C$1)</f>
      </c>
      <c r="D10" s="14">
        <f>COUNTIFS(Table1[Date],Sheet1!$A10,Table1[Sentiment V1],Sheet1!D$1)</f>
      </c>
      <c r="E10" s="16">
        <f>SUMIFS(Sheet2!B:B,Sheet2!A:A,Sheet1!A10)</f>
      </c>
      <c r="F10" s="14">
        <f>B10-C10</f>
      </c>
      <c r="G10" s="12"/>
      <c r="H10" s="13"/>
    </row>
    <row x14ac:dyDescent="0.25" r="11" customHeight="1" ht="18.75">
      <c r="A11" s="9">
        <v>45819</v>
      </c>
      <c r="B11" s="14">
        <f>COUNTIFS(Table1[Date],Sheet1!$A11,Table1[Sentiment V1],Sheet1!B$1)</f>
      </c>
      <c r="C11" s="14">
        <f>COUNTIFS(Table1[Date],Sheet1!$A11,Table1[Sentiment V1],Sheet1!C$1)</f>
      </c>
      <c r="D11" s="14">
        <f>COUNTIFS(Table1[Date],Sheet1!$A11,Table1[Sentiment V1],Sheet1!D$1)</f>
      </c>
      <c r="E11" s="16">
        <f>SUMIFS(Sheet2!B:B,Sheet2!A:A,Sheet1!A11)</f>
      </c>
      <c r="F11" s="14">
        <f>B11-C11</f>
      </c>
      <c r="G11" s="12"/>
      <c r="H11" s="13"/>
    </row>
    <row x14ac:dyDescent="0.25" r="12" customHeight="1" ht="18.75">
      <c r="A12" s="9">
        <v>45818</v>
      </c>
      <c r="B12" s="14">
        <f>COUNTIFS(Table1[Date],Sheet1!$A12,Table1[Sentiment V1],Sheet1!B$1)</f>
      </c>
      <c r="C12" s="14">
        <f>COUNTIFS(Table1[Date],Sheet1!$A12,Table1[Sentiment V1],Sheet1!C$1)</f>
      </c>
      <c r="D12" s="14">
        <f>COUNTIFS(Table1[Date],Sheet1!$A12,Table1[Sentiment V1],Sheet1!D$1)</f>
      </c>
      <c r="E12" s="16">
        <f>SUMIFS(Sheet2!B:B,Sheet2!A:A,Sheet1!A12)</f>
      </c>
      <c r="F12" s="14">
        <f>B12-C12</f>
      </c>
      <c r="G12" s="12"/>
      <c r="H12" s="13"/>
    </row>
    <row x14ac:dyDescent="0.25" r="13" customHeight="1" ht="18.75">
      <c r="A13" s="9">
        <v>45817</v>
      </c>
      <c r="B13" s="14">
        <f>COUNTIFS(Table1[Date],Sheet1!$A13,Table1[Sentiment V1],Sheet1!B$1)</f>
      </c>
      <c r="C13" s="14">
        <f>COUNTIFS(Table1[Date],Sheet1!$A13,Table1[Sentiment V1],Sheet1!C$1)</f>
      </c>
      <c r="D13" s="14">
        <f>COUNTIFS(Table1[Date],Sheet1!$A13,Table1[Sentiment V1],Sheet1!D$1)</f>
      </c>
      <c r="E13" s="16">
        <f>SUMIFS(Sheet2!B:B,Sheet2!A:A,Sheet1!A13)</f>
      </c>
      <c r="F13" s="14">
        <f>B13-C13</f>
      </c>
      <c r="G13" s="12"/>
      <c r="H13" s="13"/>
    </row>
    <row x14ac:dyDescent="0.25" r="14" customHeight="1" ht="18.75" hidden="1">
      <c r="A14" s="9">
        <v>45816</v>
      </c>
      <c r="B14" s="14">
        <f>COUNTIFS(Table1[Date],Sheet1!$A14,Table1[Sentiment V1],Sheet1!B$1)</f>
      </c>
      <c r="C14" s="14">
        <f>COUNTIFS(Table1[Date],Sheet1!$A14,Table1[Sentiment V1],Sheet1!C$1)</f>
      </c>
      <c r="D14" s="14">
        <f>COUNTIFS(Table1[Date],Sheet1!$A14,Table1[Sentiment V1],Sheet1!D$1)</f>
      </c>
      <c r="E14" s="15">
        <f>SUMIFS(Sheet2!B:B,Sheet2!A:A,Sheet1!A14)</f>
      </c>
      <c r="F14" s="14">
        <f>B14-C14</f>
      </c>
      <c r="G14" s="12"/>
      <c r="H14" s="13"/>
    </row>
    <row x14ac:dyDescent="0.25" r="15" customHeight="1" ht="18.75" hidden="1">
      <c r="A15" s="9">
        <v>45815</v>
      </c>
      <c r="B15" s="14">
        <f>COUNTIFS(Table1[Date],Sheet1!$A15,Table1[Sentiment V1],Sheet1!B$1)</f>
      </c>
      <c r="C15" s="14">
        <f>COUNTIFS(Table1[Date],Sheet1!$A15,Table1[Sentiment V1],Sheet1!C$1)</f>
      </c>
      <c r="D15" s="14">
        <f>COUNTIFS(Table1[Date],Sheet1!$A15,Table1[Sentiment V1],Sheet1!D$1)</f>
      </c>
      <c r="E15" s="15">
        <f>SUMIFS(Sheet2!B:B,Sheet2!A:A,Sheet1!A15)</f>
      </c>
      <c r="F15" s="14">
        <f>B15-C15</f>
      </c>
      <c r="G15" s="12"/>
      <c r="H15" s="13"/>
    </row>
    <row x14ac:dyDescent="0.25" r="16" customHeight="1" ht="18.75">
      <c r="A16" s="9">
        <v>45814</v>
      </c>
      <c r="B16" s="14">
        <f>COUNTIFS(Table1[Date],Sheet1!$A16,Table1[Sentiment V1],Sheet1!B$1)</f>
      </c>
      <c r="C16" s="14">
        <f>COUNTIFS(Table1[Date],Sheet1!$A16,Table1[Sentiment V1],Sheet1!C$1)</f>
      </c>
      <c r="D16" s="14">
        <f>COUNTIFS(Table1[Date],Sheet1!$A16,Table1[Sentiment V1],Sheet1!D$1)</f>
      </c>
      <c r="E16" s="16">
        <f>SUMIFS(Sheet2!B:B,Sheet2!A:A,Sheet1!A16)</f>
      </c>
      <c r="F16" s="14">
        <f>B16-C16</f>
      </c>
      <c r="G16" s="12"/>
      <c r="H16" s="13"/>
    </row>
    <row x14ac:dyDescent="0.25" r="17" customHeight="1" ht="18.75">
      <c r="A17" s="9">
        <v>45813</v>
      </c>
      <c r="B17" s="14">
        <f>COUNTIFS(Table1[Date],Sheet1!$A17,Table1[Sentiment V1],Sheet1!B$1)</f>
      </c>
      <c r="C17" s="14">
        <f>COUNTIFS(Table1[Date],Sheet1!$A17,Table1[Sentiment V1],Sheet1!C$1)</f>
      </c>
      <c r="D17" s="14">
        <f>COUNTIFS(Table1[Date],Sheet1!$A17,Table1[Sentiment V1],Sheet1!D$1)</f>
      </c>
      <c r="E17" s="16">
        <f>SUMIFS(Sheet2!B:B,Sheet2!A:A,Sheet1!A17)</f>
      </c>
      <c r="F17" s="14">
        <f>B17-C17</f>
      </c>
      <c r="G17" s="12"/>
      <c r="H17" s="13"/>
    </row>
    <row x14ac:dyDescent="0.25" r="18" customHeight="1" ht="18.75">
      <c r="A18" s="9">
        <v>45812</v>
      </c>
      <c r="B18" s="14">
        <f>COUNTIFS(Table1[Date],Sheet1!$A18,Table1[Sentiment V1],Sheet1!B$1)</f>
      </c>
      <c r="C18" s="14">
        <f>COUNTIFS(Table1[Date],Sheet1!$A18,Table1[Sentiment V1],Sheet1!C$1)</f>
      </c>
      <c r="D18" s="14">
        <f>COUNTIFS(Table1[Date],Sheet1!$A18,Table1[Sentiment V1],Sheet1!D$1)</f>
      </c>
      <c r="E18" s="16">
        <f>SUMIFS(Sheet2!B:B,Sheet2!A:A,Sheet1!A18)</f>
      </c>
      <c r="F18" s="14">
        <f>B18-C18</f>
      </c>
      <c r="G18" s="12"/>
      <c r="H18" s="13"/>
    </row>
    <row x14ac:dyDescent="0.25" r="19" customHeight="1" ht="18.75">
      <c r="A19" s="9">
        <v>45811</v>
      </c>
      <c r="B19" s="14">
        <f>COUNTIFS(Table1[Date],Sheet1!$A19,Table1[Sentiment V1],Sheet1!B$1)</f>
      </c>
      <c r="C19" s="14">
        <f>COUNTIFS(Table1[Date],Sheet1!$A19,Table1[Sentiment V1],Sheet1!C$1)</f>
      </c>
      <c r="D19" s="14">
        <f>COUNTIFS(Table1[Date],Sheet1!$A19,Table1[Sentiment V1],Sheet1!D$1)</f>
      </c>
      <c r="E19" s="16">
        <f>SUMIFS(Sheet2!B:B,Sheet2!A:A,Sheet1!A19)</f>
      </c>
      <c r="F19" s="14">
        <f>B19-C19</f>
      </c>
      <c r="G19" s="12"/>
      <c r="H19" s="13"/>
    </row>
    <row x14ac:dyDescent="0.25" r="20" customHeight="1" ht="18.75">
      <c r="A20" s="9">
        <v>45810</v>
      </c>
      <c r="B20" s="14">
        <f>COUNTIFS(Table1[Date],Sheet1!$A20,Table1[Sentiment V1],Sheet1!B$1)</f>
      </c>
      <c r="C20" s="14">
        <f>COUNTIFS(Table1[Date],Sheet1!$A20,Table1[Sentiment V1],Sheet1!C$1)</f>
      </c>
      <c r="D20" s="14">
        <f>COUNTIFS(Table1[Date],Sheet1!$A20,Table1[Sentiment V1],Sheet1!D$1)</f>
      </c>
      <c r="E20" s="16">
        <f>SUMIFS(Sheet2!B:B,Sheet2!A:A,Sheet1!A20)</f>
      </c>
      <c r="F20" s="14">
        <f>B20-C20</f>
      </c>
      <c r="G20" s="12"/>
      <c r="H20" s="13"/>
    </row>
    <row x14ac:dyDescent="0.25" r="21" customHeight="1" ht="18.75" hidden="1">
      <c r="A21" s="9">
        <v>45809</v>
      </c>
      <c r="B21" s="14">
        <f>COUNTIFS(Table1[Date],Sheet1!$A21,Table1[Sentiment V1],Sheet1!B$1)</f>
      </c>
      <c r="C21" s="14">
        <f>COUNTIFS(Table1[Date],Sheet1!$A21,Table1[Sentiment V1],Sheet1!C$1)</f>
      </c>
      <c r="D21" s="14">
        <f>COUNTIFS(Table1[Date],Sheet1!$A21,Table1[Sentiment V1],Sheet1!D$1)</f>
      </c>
      <c r="E21" s="15">
        <f>SUMIFS(Sheet2!B:B,Sheet2!A:A,Sheet1!A21)</f>
      </c>
      <c r="F21" s="14">
        <f>B21-C21</f>
      </c>
      <c r="G21" s="12"/>
      <c r="H21" s="13"/>
    </row>
    <row x14ac:dyDescent="0.25" r="22" customHeight="1" ht="18.75" hidden="1">
      <c r="A22" s="9">
        <v>45808</v>
      </c>
      <c r="B22" s="14">
        <f>COUNTIFS(Table1[Date],Sheet1!$A22,Table1[Sentiment V1],Sheet1!B$1)</f>
      </c>
      <c r="C22" s="14">
        <f>COUNTIFS(Table1[Date],Sheet1!$A22,Table1[Sentiment V1],Sheet1!C$1)</f>
      </c>
      <c r="D22" s="14">
        <f>COUNTIFS(Table1[Date],Sheet1!$A22,Table1[Sentiment V1],Sheet1!D$1)</f>
      </c>
      <c r="E22" s="15">
        <f>SUMIFS(Sheet2!B:B,Sheet2!A:A,Sheet1!A22)</f>
      </c>
      <c r="F22" s="14">
        <f>B22-C22</f>
      </c>
      <c r="G22" s="12"/>
      <c r="H22" s="13"/>
    </row>
    <row x14ac:dyDescent="0.25" r="23" customHeight="1" ht="18.75">
      <c r="A23" s="9">
        <v>45807</v>
      </c>
      <c r="B23" s="14">
        <f>COUNTIFS(Table1[Date],Sheet1!$A23,Table1[Sentiment V1],Sheet1!B$1)</f>
      </c>
      <c r="C23" s="14">
        <f>COUNTIFS(Table1[Date],Sheet1!$A23,Table1[Sentiment V1],Sheet1!C$1)</f>
      </c>
      <c r="D23" s="14">
        <f>COUNTIFS(Table1[Date],Sheet1!$A23,Table1[Sentiment V1],Sheet1!D$1)</f>
      </c>
      <c r="E23" s="16">
        <f>SUMIFS(Sheet2!B:B,Sheet2!A:A,Sheet1!A23)</f>
      </c>
      <c r="F23" s="14">
        <f>B23-C23</f>
      </c>
      <c r="G23" s="12"/>
      <c r="H23" s="13"/>
    </row>
    <row x14ac:dyDescent="0.25" r="24" customHeight="1" ht="18.75">
      <c r="A24" s="9">
        <v>45806</v>
      </c>
      <c r="B24" s="14">
        <f>COUNTIFS(Table1[Date],Sheet1!$A24,Table1[Sentiment V1],Sheet1!B$1)</f>
      </c>
      <c r="C24" s="14">
        <f>COUNTIFS(Table1[Date],Sheet1!$A24,Table1[Sentiment V1],Sheet1!C$1)</f>
      </c>
      <c r="D24" s="14">
        <f>COUNTIFS(Table1[Date],Sheet1!$A24,Table1[Sentiment V1],Sheet1!D$1)</f>
      </c>
      <c r="E24" s="16">
        <f>SUMIFS(Sheet2!B:B,Sheet2!A:A,Sheet1!A24)</f>
      </c>
      <c r="F24" s="14">
        <f>B24-C24</f>
      </c>
      <c r="G24" s="12"/>
      <c r="H24" s="13"/>
    </row>
    <row x14ac:dyDescent="0.25" r="25" customHeight="1" ht="18.75">
      <c r="A25" s="9">
        <v>45805</v>
      </c>
      <c r="B25" s="14">
        <f>COUNTIFS(Table1[Date],Sheet1!$A25,Table1[Sentiment V1],Sheet1!B$1)</f>
      </c>
      <c r="C25" s="14">
        <f>COUNTIFS(Table1[Date],Sheet1!$A25,Table1[Sentiment V1],Sheet1!C$1)</f>
      </c>
      <c r="D25" s="14">
        <f>COUNTIFS(Table1[Date],Sheet1!$A25,Table1[Sentiment V1],Sheet1!D$1)</f>
      </c>
      <c r="E25" s="16">
        <f>SUMIFS(Sheet2!B:B,Sheet2!A:A,Sheet1!A25)</f>
      </c>
      <c r="F25" s="14">
        <f>B25-C25</f>
      </c>
      <c r="G25" s="12"/>
      <c r="H25" s="13"/>
    </row>
    <row x14ac:dyDescent="0.25" r="26" customHeight="1" ht="18.75">
      <c r="A26" s="9">
        <v>45804</v>
      </c>
      <c r="B26" s="14">
        <f>COUNTIFS(Table1[Date],Sheet1!$A26,Table1[Sentiment V1],Sheet1!B$1)</f>
      </c>
      <c r="C26" s="14">
        <f>COUNTIFS(Table1[Date],Sheet1!$A26,Table1[Sentiment V1],Sheet1!C$1)</f>
      </c>
      <c r="D26" s="14">
        <f>COUNTIFS(Table1[Date],Sheet1!$A26,Table1[Sentiment V1],Sheet1!D$1)</f>
      </c>
      <c r="E26" s="16">
        <f>SUMIFS(Sheet2!B:B,Sheet2!A:A,Sheet1!A26)</f>
      </c>
      <c r="F26" s="14">
        <f>B26-C26</f>
      </c>
      <c r="G26" s="12"/>
      <c r="H26" s="13"/>
    </row>
    <row x14ac:dyDescent="0.25" r="27" customHeight="1" ht="18.75">
      <c r="A27" s="9">
        <v>45803</v>
      </c>
      <c r="B27" s="14">
        <f>COUNTIFS(Table1[Date],Sheet1!$A27,Table1[Sentiment V1],Sheet1!B$1)</f>
      </c>
      <c r="C27" s="14">
        <f>COUNTIFS(Table1[Date],Sheet1!$A27,Table1[Sentiment V1],Sheet1!C$1)</f>
      </c>
      <c r="D27" s="14">
        <f>COUNTIFS(Table1[Date],Sheet1!$A27,Table1[Sentiment V1],Sheet1!D$1)</f>
      </c>
      <c r="E27" s="16">
        <f>SUMIFS(Sheet2!B:B,Sheet2!A:A,Sheet1!A27)</f>
      </c>
      <c r="F27" s="14">
        <f>B27-C27</f>
      </c>
      <c r="G27" s="12"/>
      <c r="H27" s="13"/>
    </row>
    <row x14ac:dyDescent="0.25" r="28" customHeight="1" ht="18.75">
      <c r="A28" s="9">
        <v>45800</v>
      </c>
      <c r="B28" s="14">
        <f>COUNTIFS(Table1[Date],Sheet1!$A28,Table1[Sentiment V1],Sheet1!B$1)</f>
      </c>
      <c r="C28" s="14">
        <f>COUNTIFS(Table1[Date],Sheet1!$A28,Table1[Sentiment V1],Sheet1!C$1)</f>
      </c>
      <c r="D28" s="14">
        <f>COUNTIFS(Table1[Date],Sheet1!$A28,Table1[Sentiment V1],Sheet1!D$1)</f>
      </c>
      <c r="E28" s="16">
        <f>SUMIFS(Sheet2!B:B,Sheet2!A:A,Sheet1!A28)</f>
      </c>
      <c r="F28" s="14">
        <f>B28-C28</f>
      </c>
      <c r="G28" s="12"/>
      <c r="H28" s="13"/>
    </row>
    <row x14ac:dyDescent="0.25" r="29" customHeight="1" ht="18.75">
      <c r="A29" s="9">
        <v>45799</v>
      </c>
      <c r="B29" s="14">
        <f>COUNTIFS(Table1[Date],Sheet1!$A29,Table1[Sentiment V1],Sheet1!B$1)</f>
      </c>
      <c r="C29" s="14">
        <f>COUNTIFS(Table1[Date],Sheet1!$A29,Table1[Sentiment V1],Sheet1!C$1)</f>
      </c>
      <c r="D29" s="14">
        <f>COUNTIFS(Table1[Date],Sheet1!$A29,Table1[Sentiment V1],Sheet1!D$1)</f>
      </c>
      <c r="E29" s="16">
        <f>SUMIFS(Sheet2!B:B,Sheet2!A:A,Sheet1!A29)</f>
      </c>
      <c r="F29" s="14">
        <f>B29-C29</f>
      </c>
      <c r="G29" s="12"/>
      <c r="H29" s="13"/>
    </row>
    <row x14ac:dyDescent="0.25" r="30" customHeight="1" ht="18.75">
      <c r="A30" s="9">
        <v>45798</v>
      </c>
      <c r="B30" s="14">
        <f>COUNTIFS(Table1[Date],Sheet1!$A30,Table1[Sentiment V1],Sheet1!B$1)</f>
      </c>
      <c r="C30" s="14">
        <f>COUNTIFS(Table1[Date],Sheet1!$A30,Table1[Sentiment V1],Sheet1!C$1)</f>
      </c>
      <c r="D30" s="14">
        <f>COUNTIFS(Table1[Date],Sheet1!$A30,Table1[Sentiment V1],Sheet1!D$1)</f>
      </c>
      <c r="E30" s="16">
        <f>SUMIFS(Sheet2!B:B,Sheet2!A:A,Sheet1!A30)</f>
      </c>
      <c r="F30" s="14">
        <f>B30-C30</f>
      </c>
      <c r="G30" s="12"/>
      <c r="H30" s="13"/>
    </row>
    <row x14ac:dyDescent="0.25" r="31" customHeight="1" ht="18.75">
      <c r="A31" s="9">
        <v>45797</v>
      </c>
      <c r="B31" s="14">
        <f>COUNTIFS(Table1[Date],Sheet1!$A31,Table1[Sentiment V1],Sheet1!B$1)</f>
      </c>
      <c r="C31" s="14">
        <f>COUNTIFS(Table1[Date],Sheet1!$A31,Table1[Sentiment V1],Sheet1!C$1)</f>
      </c>
      <c r="D31" s="14">
        <f>COUNTIFS(Table1[Date],Sheet1!$A31,Table1[Sentiment V1],Sheet1!D$1)</f>
      </c>
      <c r="E31" s="16">
        <f>SUMIFS(Sheet2!B:B,Sheet2!A:A,Sheet1!A31)</f>
      </c>
      <c r="F31" s="14">
        <f>B31-C31</f>
      </c>
      <c r="G31" s="12"/>
      <c r="H31" s="13"/>
    </row>
    <row x14ac:dyDescent="0.25" r="32" customHeight="1" ht="18.75">
      <c r="A32" s="9">
        <v>45796</v>
      </c>
      <c r="B32" s="14">
        <f>COUNTIFS(Table1[Date],Sheet1!$A32,Table1[Sentiment V1],Sheet1!B$1)</f>
      </c>
      <c r="C32" s="14">
        <f>COUNTIFS(Table1[Date],Sheet1!$A32,Table1[Sentiment V1],Sheet1!C$1)</f>
      </c>
      <c r="D32" s="14">
        <f>COUNTIFS(Table1[Date],Sheet1!$A32,Table1[Sentiment V1],Sheet1!D$1)</f>
      </c>
      <c r="E32" s="16">
        <f>SUMIFS(Sheet2!B:B,Sheet2!A:A,Sheet1!A32)</f>
      </c>
      <c r="F32" s="14">
        <f>B32-C32</f>
      </c>
      <c r="G32" s="12"/>
      <c r="H32" s="13"/>
    </row>
    <row x14ac:dyDescent="0.25" r="33" customHeight="1" ht="18.75" hidden="1">
      <c r="A33" s="9">
        <v>45795</v>
      </c>
      <c r="B33" s="14">
        <f>COUNTIFS(Table1[Date],Sheet1!$A33,Table1[Sentiment V1],Sheet1!B$1)</f>
      </c>
      <c r="C33" s="14">
        <f>COUNTIFS(Table1[Date],Sheet1!$A33,Table1[Sentiment V1],Sheet1!C$1)</f>
      </c>
      <c r="D33" s="14">
        <f>COUNTIFS(Table1[Date],Sheet1!$A33,Table1[Sentiment V1],Sheet1!D$1)</f>
      </c>
      <c r="E33" s="15">
        <f>SUMIFS(Sheet2!B:B,Sheet2!A:A,Sheet1!A33)</f>
      </c>
      <c r="F33" s="14">
        <f>B33-C33</f>
      </c>
      <c r="G33" s="12"/>
      <c r="H33" s="13"/>
    </row>
    <row x14ac:dyDescent="0.25" r="34" customHeight="1" ht="18.75" hidden="1">
      <c r="A34" s="9">
        <v>45794</v>
      </c>
      <c r="B34" s="14">
        <f>COUNTIFS(Table1[Date],Sheet1!$A34,Table1[Sentiment V1],Sheet1!B$1)</f>
      </c>
      <c r="C34" s="14">
        <f>COUNTIFS(Table1[Date],Sheet1!$A34,Table1[Sentiment V1],Sheet1!C$1)</f>
      </c>
      <c r="D34" s="14">
        <f>COUNTIFS(Table1[Date],Sheet1!$A34,Table1[Sentiment V1],Sheet1!D$1)</f>
      </c>
      <c r="E34" s="15">
        <f>SUMIFS(Sheet2!B:B,Sheet2!A:A,Sheet1!A34)</f>
      </c>
      <c r="F34" s="14">
        <f>B34-C34</f>
      </c>
      <c r="G34" s="12"/>
      <c r="H34" s="13"/>
    </row>
    <row x14ac:dyDescent="0.25" r="35" customHeight="1" ht="18.75">
      <c r="A35" s="9">
        <v>45793</v>
      </c>
      <c r="B35" s="14">
        <f>COUNTIFS(Table1[Date],Sheet1!$A35,Table1[Sentiment V1],Sheet1!B$1)</f>
      </c>
      <c r="C35" s="14">
        <f>COUNTIFS(Table1[Date],Sheet1!$A35,Table1[Sentiment V1],Sheet1!C$1)</f>
      </c>
      <c r="D35" s="14">
        <f>COUNTIFS(Table1[Date],Sheet1!$A35,Table1[Sentiment V1],Sheet1!D$1)</f>
      </c>
      <c r="E35" s="16">
        <f>SUMIFS(Sheet2!B:B,Sheet2!A:A,Sheet1!A35)</f>
      </c>
      <c r="F35" s="14">
        <f>B35-C35</f>
      </c>
      <c r="G35" s="12"/>
      <c r="H35" s="13"/>
    </row>
    <row x14ac:dyDescent="0.25" r="36" customHeight="1" ht="18.75">
      <c r="A36" s="9">
        <v>45792</v>
      </c>
      <c r="B36" s="14">
        <f>COUNTIFS(Table1[Date],Sheet1!$A36,Table1[Sentiment V1],Sheet1!B$1)</f>
      </c>
      <c r="C36" s="14">
        <f>COUNTIFS(Table1[Date],Sheet1!$A36,Table1[Sentiment V1],Sheet1!C$1)</f>
      </c>
      <c r="D36" s="14">
        <f>COUNTIFS(Table1[Date],Sheet1!$A36,Table1[Sentiment V1],Sheet1!D$1)</f>
      </c>
      <c r="E36" s="16">
        <f>SUMIFS(Sheet2!B:B,Sheet2!A:A,Sheet1!A36)</f>
      </c>
      <c r="F36" s="14">
        <f>B36-C36</f>
      </c>
      <c r="G36" s="12"/>
      <c r="H36" s="13"/>
    </row>
    <row x14ac:dyDescent="0.25" r="37" customHeight="1" ht="18.75">
      <c r="A37" s="9">
        <v>45791</v>
      </c>
      <c r="B37" s="14">
        <f>COUNTIFS(Table1[Date],Sheet1!$A37,Table1[Sentiment V1],Sheet1!B$1)</f>
      </c>
      <c r="C37" s="14">
        <f>COUNTIFS(Table1[Date],Sheet1!$A37,Table1[Sentiment V1],Sheet1!C$1)</f>
      </c>
      <c r="D37" s="14">
        <f>COUNTIFS(Table1[Date],Sheet1!$A37,Table1[Sentiment V1],Sheet1!D$1)</f>
      </c>
      <c r="E37" s="16">
        <f>SUMIFS(Sheet2!B:B,Sheet2!A:A,Sheet1!A37)</f>
      </c>
      <c r="F37" s="14">
        <f>B37-C37</f>
      </c>
      <c r="G37" s="12"/>
      <c r="H37" s="13"/>
    </row>
    <row x14ac:dyDescent="0.25" r="38" customHeight="1" ht="18.75">
      <c r="A38" s="9">
        <v>45790</v>
      </c>
      <c r="B38" s="14">
        <f>COUNTIFS(Table1[Date],Sheet1!$A38,Table1[Sentiment V1],Sheet1!B$1)</f>
      </c>
      <c r="C38" s="14">
        <f>COUNTIFS(Table1[Date],Sheet1!$A38,Table1[Sentiment V1],Sheet1!C$1)</f>
      </c>
      <c r="D38" s="14">
        <f>COUNTIFS(Table1[Date],Sheet1!$A38,Table1[Sentiment V1],Sheet1!D$1)</f>
      </c>
      <c r="E38" s="16">
        <f>SUMIFS(Sheet2!B:B,Sheet2!A:A,Sheet1!A38)</f>
      </c>
      <c r="F38" s="14">
        <f>B38-C38</f>
      </c>
      <c r="G38" s="12"/>
      <c r="H38" s="13"/>
    </row>
    <row x14ac:dyDescent="0.25" r="39" customHeight="1" ht="18.75">
      <c r="A39" s="9">
        <v>45789</v>
      </c>
      <c r="B39" s="14">
        <f>COUNTIFS(Table1[Date],Sheet1!$A39,Table1[Sentiment V1],Sheet1!B$1)</f>
      </c>
      <c r="C39" s="14">
        <f>COUNTIFS(Table1[Date],Sheet1!$A39,Table1[Sentiment V1],Sheet1!C$1)</f>
      </c>
      <c r="D39" s="14">
        <f>COUNTIFS(Table1[Date],Sheet1!$A39,Table1[Sentiment V1],Sheet1!D$1)</f>
      </c>
      <c r="E39" s="16">
        <f>SUMIFS(Sheet2!B:B,Sheet2!A:A,Sheet1!A39)</f>
      </c>
      <c r="F39" s="14">
        <f>B39-C39</f>
      </c>
      <c r="G39" s="12"/>
      <c r="H39" s="13"/>
    </row>
    <row x14ac:dyDescent="0.25" r="40" customHeight="1" ht="18.75" hidden="1">
      <c r="A40" s="9">
        <v>45788</v>
      </c>
      <c r="B40" s="14">
        <f>COUNTIFS(Table1[Date],Sheet1!$A40,Table1[Sentiment V1],Sheet1!B$1)</f>
      </c>
      <c r="C40" s="14">
        <f>COUNTIFS(Table1[Date],Sheet1!$A40,Table1[Sentiment V1],Sheet1!C$1)</f>
      </c>
      <c r="D40" s="14">
        <f>COUNTIFS(Table1[Date],Sheet1!$A40,Table1[Sentiment V1],Sheet1!D$1)</f>
      </c>
      <c r="E40" s="15">
        <f>SUMIFS(Sheet2!B:B,Sheet2!A:A,Sheet1!A40)</f>
      </c>
      <c r="F40" s="14">
        <f>B40-C40</f>
      </c>
      <c r="G40" s="12"/>
      <c r="H40" s="13"/>
    </row>
    <row x14ac:dyDescent="0.25" r="41" customHeight="1" ht="18.75" hidden="1">
      <c r="A41" s="9">
        <v>45787</v>
      </c>
      <c r="B41" s="14">
        <f>COUNTIFS(Table1[Date],Sheet1!$A41,Table1[Sentiment V1],Sheet1!B$1)</f>
      </c>
      <c r="C41" s="14">
        <f>COUNTIFS(Table1[Date],Sheet1!$A41,Table1[Sentiment V1],Sheet1!C$1)</f>
      </c>
      <c r="D41" s="14">
        <f>COUNTIFS(Table1[Date],Sheet1!$A41,Table1[Sentiment V1],Sheet1!D$1)</f>
      </c>
      <c r="E41" s="15">
        <f>SUMIFS(Sheet2!B:B,Sheet2!A:A,Sheet1!A41)</f>
      </c>
      <c r="F41" s="14">
        <f>B41-C41</f>
      </c>
      <c r="G41" s="12"/>
      <c r="H41" s="13"/>
    </row>
    <row x14ac:dyDescent="0.25" r="42" customHeight="1" ht="18.75">
      <c r="A42" s="9">
        <v>45786</v>
      </c>
      <c r="B42" s="14">
        <f>COUNTIFS(Table1[Date],Sheet1!$A42,Table1[Sentiment V1],Sheet1!B$1)</f>
      </c>
      <c r="C42" s="14">
        <f>COUNTIFS(Table1[Date],Sheet1!$A42,Table1[Sentiment V1],Sheet1!C$1)</f>
      </c>
      <c r="D42" s="14">
        <f>COUNTIFS(Table1[Date],Sheet1!$A42,Table1[Sentiment V1],Sheet1!D$1)</f>
      </c>
      <c r="E42" s="16">
        <f>SUMIFS(Sheet2!B:B,Sheet2!A:A,Sheet1!A42)</f>
      </c>
      <c r="F42" s="14">
        <f>B42-C42</f>
      </c>
      <c r="G42" s="12"/>
      <c r="H42" s="13"/>
    </row>
    <row x14ac:dyDescent="0.25" r="43" customHeight="1" ht="18.75">
      <c r="A43" s="9">
        <v>45785</v>
      </c>
      <c r="B43" s="14">
        <f>COUNTIFS(Table1[Date],Sheet1!$A43,Table1[Sentiment V1],Sheet1!B$1)</f>
      </c>
      <c r="C43" s="14">
        <f>COUNTIFS(Table1[Date],Sheet1!$A43,Table1[Sentiment V1],Sheet1!C$1)</f>
      </c>
      <c r="D43" s="14">
        <f>COUNTIFS(Table1[Date],Sheet1!$A43,Table1[Sentiment V1],Sheet1!D$1)</f>
      </c>
      <c r="E43" s="16">
        <f>SUMIFS(Sheet2!B:B,Sheet2!A:A,Sheet1!A43)</f>
      </c>
      <c r="F43" s="14">
        <f>B43-C43</f>
      </c>
      <c r="G43" s="12"/>
      <c r="H43" s="13"/>
    </row>
    <row x14ac:dyDescent="0.25" r="44" customHeight="1" ht="18.75">
      <c r="A44" s="9">
        <v>45784</v>
      </c>
      <c r="B44" s="14">
        <f>COUNTIFS(Table1[Date],Sheet1!$A44,Table1[Sentiment V1],Sheet1!B$1)</f>
      </c>
      <c r="C44" s="14">
        <f>COUNTIFS(Table1[Date],Sheet1!$A44,Table1[Sentiment V1],Sheet1!C$1)</f>
      </c>
      <c r="D44" s="14">
        <f>COUNTIFS(Table1[Date],Sheet1!$A44,Table1[Sentiment V1],Sheet1!D$1)</f>
      </c>
      <c r="E44" s="16">
        <f>SUMIFS(Sheet2!B:B,Sheet2!A:A,Sheet1!A44)</f>
      </c>
      <c r="F44" s="14">
        <f>B44-C44</f>
      </c>
      <c r="G44" s="12"/>
      <c r="H44" s="13"/>
    </row>
    <row x14ac:dyDescent="0.25" r="45" customHeight="1" ht="18.75">
      <c r="A45" s="9">
        <v>45783</v>
      </c>
      <c r="B45" s="14">
        <f>COUNTIFS(Table1[Date],Sheet1!$A45,Table1[Sentiment V1],Sheet1!B$1)</f>
      </c>
      <c r="C45" s="14">
        <f>COUNTIFS(Table1[Date],Sheet1!$A45,Table1[Sentiment V1],Sheet1!C$1)</f>
      </c>
      <c r="D45" s="14">
        <f>COUNTIFS(Table1[Date],Sheet1!$A45,Table1[Sentiment V1],Sheet1!D$1)</f>
      </c>
      <c r="E45" s="16">
        <f>SUMIFS(Sheet2!B:B,Sheet2!A:A,Sheet1!A45)</f>
      </c>
      <c r="F45" s="14">
        <f>B45-C45</f>
      </c>
      <c r="G45" s="12"/>
      <c r="H45" s="13"/>
    </row>
    <row x14ac:dyDescent="0.25" r="46" customHeight="1" ht="18.75">
      <c r="A46" s="9">
        <v>45782</v>
      </c>
      <c r="B46" s="14">
        <f>COUNTIFS(Table1[Date],Sheet1!$A46,Table1[Sentiment V1],Sheet1!B$1)</f>
      </c>
      <c r="C46" s="14">
        <f>COUNTIFS(Table1[Date],Sheet1!$A46,Table1[Sentiment V1],Sheet1!C$1)</f>
      </c>
      <c r="D46" s="14">
        <f>COUNTIFS(Table1[Date],Sheet1!$A46,Table1[Sentiment V1],Sheet1!D$1)</f>
      </c>
      <c r="E46" s="16">
        <f>SUMIFS(Sheet2!B:B,Sheet2!A:A,Sheet1!A46)</f>
      </c>
      <c r="F46" s="14">
        <f>B46-C46</f>
      </c>
      <c r="G46" s="12"/>
      <c r="H46" s="13"/>
    </row>
    <row x14ac:dyDescent="0.25" r="47" customHeight="1" ht="18.75" hidden="1">
      <c r="A47" s="9">
        <v>45781</v>
      </c>
      <c r="B47" s="14">
        <f>COUNTIFS(Table1[Date],Sheet1!$A47,Table1[Sentiment V1],Sheet1!B$1)</f>
      </c>
      <c r="C47" s="14">
        <f>COUNTIFS(Table1[Date],Sheet1!$A47,Table1[Sentiment V1],Sheet1!C$1)</f>
      </c>
      <c r="D47" s="14">
        <f>COUNTIFS(Table1[Date],Sheet1!$A47,Table1[Sentiment V1],Sheet1!D$1)</f>
      </c>
      <c r="E47" s="15">
        <f>SUMIFS(Sheet2!B:B,Sheet2!A:A,Sheet1!A47)</f>
      </c>
      <c r="F47" s="14">
        <f>B47-C47</f>
      </c>
      <c r="G47" s="12"/>
      <c r="H47" s="13"/>
    </row>
    <row x14ac:dyDescent="0.25" r="48" customHeight="1" ht="18.75" hidden="1">
      <c r="A48" s="9">
        <v>45780</v>
      </c>
      <c r="B48" s="14">
        <f>COUNTIFS(Table1[Date],Sheet1!$A48,Table1[Sentiment V1],Sheet1!B$1)</f>
      </c>
      <c r="C48" s="14">
        <f>COUNTIFS(Table1[Date],Sheet1!$A48,Table1[Sentiment V1],Sheet1!C$1)</f>
      </c>
      <c r="D48" s="14">
        <f>COUNTIFS(Table1[Date],Sheet1!$A48,Table1[Sentiment V1],Sheet1!D$1)</f>
      </c>
      <c r="E48" s="15">
        <f>SUMIFS(Sheet2!B:B,Sheet2!A:A,Sheet1!A48)</f>
      </c>
      <c r="F48" s="14">
        <f>B48-C48</f>
      </c>
      <c r="G48" s="12"/>
      <c r="H48" s="13"/>
    </row>
    <row x14ac:dyDescent="0.25" r="49" customHeight="1" ht="18.75">
      <c r="A49" s="9">
        <v>45779</v>
      </c>
      <c r="B49" s="14">
        <f>COUNTIFS(Table1[Date],Sheet1!$A49,Table1[Sentiment V1],Sheet1!B$1)</f>
      </c>
      <c r="C49" s="14">
        <f>COUNTIFS(Table1[Date],Sheet1!$A49,Table1[Sentiment V1],Sheet1!C$1)</f>
      </c>
      <c r="D49" s="14">
        <f>COUNTIFS(Table1[Date],Sheet1!$A49,Table1[Sentiment V1],Sheet1!D$1)</f>
      </c>
      <c r="E49" s="16">
        <f>SUMIFS(Sheet2!B:B,Sheet2!A:A,Sheet1!A49)</f>
      </c>
      <c r="F49" s="14">
        <f>B49-C49</f>
      </c>
      <c r="G49" s="12"/>
      <c r="H49" s="13"/>
    </row>
    <row x14ac:dyDescent="0.25" r="50" customHeight="1" ht="18.75">
      <c r="A50" s="9">
        <v>45778</v>
      </c>
      <c r="B50" s="14">
        <f>COUNTIFS(Table1[Date],Sheet1!$A50,Table1[Sentiment V1],Sheet1!B$1)</f>
      </c>
      <c r="C50" s="14">
        <f>COUNTIFS(Table1[Date],Sheet1!$A50,Table1[Sentiment V1],Sheet1!C$1)</f>
      </c>
      <c r="D50" s="14">
        <f>COUNTIFS(Table1[Date],Sheet1!$A50,Table1[Sentiment V1],Sheet1!D$1)</f>
      </c>
      <c r="E50" s="16">
        <f>SUMIFS(Sheet2!B:B,Sheet2!A:A,Sheet1!A50)</f>
      </c>
      <c r="F50" s="14">
        <f>B50-C50</f>
      </c>
      <c r="G50" s="12"/>
      <c r="H50" s="13"/>
    </row>
    <row x14ac:dyDescent="0.25" r="51" customHeight="1" ht="18.75">
      <c r="A51" s="9">
        <v>45777</v>
      </c>
      <c r="B51" s="14">
        <f>COUNTIFS(Table1[Date],Sheet1!$A51,Table1[Sentiment V1],Sheet1!B$1)</f>
      </c>
      <c r="C51" s="14">
        <f>COUNTIFS(Table1[Date],Sheet1!$A51,Table1[Sentiment V1],Sheet1!C$1)</f>
      </c>
      <c r="D51" s="14">
        <f>COUNTIFS(Table1[Date],Sheet1!$A51,Table1[Sentiment V1],Sheet1!D$1)</f>
      </c>
      <c r="E51" s="16">
        <f>SUMIFS(Sheet2!B:B,Sheet2!A:A,Sheet1!A51)</f>
      </c>
      <c r="F51" s="14">
        <f>B51-C51</f>
      </c>
      <c r="G51" s="12"/>
      <c r="H51" s="13"/>
    </row>
    <row x14ac:dyDescent="0.25" r="52" customHeight="1" ht="18.75">
      <c r="A52" s="9">
        <v>45776</v>
      </c>
      <c r="B52" s="14">
        <f>COUNTIFS(Table1[Date],Sheet1!$A52,Table1[Sentiment V1],Sheet1!B$1)</f>
      </c>
      <c r="C52" s="14">
        <f>COUNTIFS(Table1[Date],Sheet1!$A52,Table1[Sentiment V1],Sheet1!C$1)</f>
      </c>
      <c r="D52" s="14">
        <f>COUNTIFS(Table1[Date],Sheet1!$A52,Table1[Sentiment V1],Sheet1!D$1)</f>
      </c>
      <c r="E52" s="16">
        <f>SUMIFS(Sheet2!B:B,Sheet2!A:A,Sheet1!A52)</f>
      </c>
      <c r="F52" s="14">
        <f>B52-C52</f>
      </c>
      <c r="G52" s="12"/>
      <c r="H52" s="13"/>
    </row>
    <row x14ac:dyDescent="0.25" r="53" customHeight="1" ht="18.75">
      <c r="A53" s="9">
        <v>45775</v>
      </c>
      <c r="B53" s="14">
        <f>COUNTIFS(Table1[Date],Sheet1!$A53,Table1[Sentiment V1],Sheet1!B$1)</f>
      </c>
      <c r="C53" s="14">
        <f>COUNTIFS(Table1[Date],Sheet1!$A53,Table1[Sentiment V1],Sheet1!C$1)</f>
      </c>
      <c r="D53" s="14">
        <f>COUNTIFS(Table1[Date],Sheet1!$A53,Table1[Sentiment V1],Sheet1!D$1)</f>
      </c>
      <c r="E53" s="16">
        <f>SUMIFS(Sheet2!B:B,Sheet2!A:A,Sheet1!A53)</f>
      </c>
      <c r="F53" s="14">
        <f>B53-C53</f>
      </c>
      <c r="G53" s="12"/>
      <c r="H53" s="13"/>
    </row>
    <row x14ac:dyDescent="0.25" r="54" customHeight="1" ht="18.75" hidden="1">
      <c r="A54" s="9">
        <v>45773</v>
      </c>
      <c r="B54" s="14">
        <f>COUNTIFS(Table1[Date],Sheet1!$A54,Table1[Sentiment V1],Sheet1!B$1)</f>
      </c>
      <c r="C54" s="14">
        <f>COUNTIFS(Table1[Date],Sheet1!$A54,Table1[Sentiment V1],Sheet1!C$1)</f>
      </c>
      <c r="D54" s="14">
        <f>COUNTIFS(Table1[Date],Sheet1!$A54,Table1[Sentiment V1],Sheet1!D$1)</f>
      </c>
      <c r="E54" s="15">
        <f>SUMIFS(Sheet2!B:B,Sheet2!A:A,Sheet1!A54)</f>
      </c>
      <c r="F54" s="14">
        <f>B54-C54</f>
      </c>
      <c r="G54" s="12"/>
      <c r="H54" s="13"/>
    </row>
    <row x14ac:dyDescent="0.25" r="55" customHeight="1" ht="18.75">
      <c r="A55" s="9">
        <v>45772</v>
      </c>
      <c r="B55" s="14">
        <f>COUNTIFS(Table1[Date],Sheet1!$A55,Table1[Sentiment V1],Sheet1!B$1)</f>
      </c>
      <c r="C55" s="14">
        <f>COUNTIFS(Table1[Date],Sheet1!$A55,Table1[Sentiment V1],Sheet1!C$1)</f>
      </c>
      <c r="D55" s="14">
        <f>COUNTIFS(Table1[Date],Sheet1!$A55,Table1[Sentiment V1],Sheet1!D$1)</f>
      </c>
      <c r="E55" s="16">
        <f>SUMIFS(Sheet2!B:B,Sheet2!A:A,Sheet1!A55)</f>
      </c>
      <c r="F55" s="14">
        <f>B55-C55</f>
      </c>
      <c r="G55" s="12"/>
      <c r="H55" s="13"/>
    </row>
    <row x14ac:dyDescent="0.25" r="56" customHeight="1" ht="18.75">
      <c r="A56" s="9">
        <v>45771</v>
      </c>
      <c r="B56" s="14">
        <f>COUNTIFS(Table1[Date],Sheet1!$A56,Table1[Sentiment V1],Sheet1!B$1)</f>
      </c>
      <c r="C56" s="14">
        <f>COUNTIFS(Table1[Date],Sheet1!$A56,Table1[Sentiment V1],Sheet1!C$1)</f>
      </c>
      <c r="D56" s="14">
        <f>COUNTIFS(Table1[Date],Sheet1!$A56,Table1[Sentiment V1],Sheet1!D$1)</f>
      </c>
      <c r="E56" s="16">
        <f>SUMIFS(Sheet2!B:B,Sheet2!A:A,Sheet1!A56)</f>
      </c>
      <c r="F56" s="14">
        <f>B56-C56</f>
      </c>
      <c r="G56" s="12"/>
      <c r="H56" s="13"/>
    </row>
    <row x14ac:dyDescent="0.25" r="57" customHeight="1" ht="18.75">
      <c r="A57" s="9">
        <v>45770</v>
      </c>
      <c r="B57" s="14">
        <f>COUNTIFS(Table1[Date],Sheet1!$A57,Table1[Sentiment V1],Sheet1!B$1)</f>
      </c>
      <c r="C57" s="14">
        <f>COUNTIFS(Table1[Date],Sheet1!$A57,Table1[Sentiment V1],Sheet1!C$1)</f>
      </c>
      <c r="D57" s="14">
        <f>COUNTIFS(Table1[Date],Sheet1!$A57,Table1[Sentiment V1],Sheet1!D$1)</f>
      </c>
      <c r="E57" s="16">
        <f>SUMIFS(Sheet2!B:B,Sheet2!A:A,Sheet1!A57)</f>
      </c>
      <c r="F57" s="14">
        <f>B57-C57</f>
      </c>
      <c r="G57" s="12"/>
      <c r="H57" s="13"/>
    </row>
    <row x14ac:dyDescent="0.25" r="58" customHeight="1" ht="18.75">
      <c r="A58" s="9">
        <v>45769</v>
      </c>
      <c r="B58" s="14">
        <f>COUNTIFS(Table1[Date],Sheet1!$A58,Table1[Sentiment V1],Sheet1!B$1)</f>
      </c>
      <c r="C58" s="14">
        <f>COUNTIFS(Table1[Date],Sheet1!$A58,Table1[Sentiment V1],Sheet1!C$1)</f>
      </c>
      <c r="D58" s="14">
        <f>COUNTIFS(Table1[Date],Sheet1!$A58,Table1[Sentiment V1],Sheet1!D$1)</f>
      </c>
      <c r="E58" s="16">
        <f>SUMIFS(Sheet2!B:B,Sheet2!A:A,Sheet1!A58)</f>
      </c>
      <c r="F58" s="14">
        <f>B58-C58</f>
      </c>
      <c r="G58" s="12"/>
      <c r="H58" s="13"/>
    </row>
    <row x14ac:dyDescent="0.25" r="59" customHeight="1" ht="18.75">
      <c r="A59" s="9">
        <v>45768</v>
      </c>
      <c r="B59" s="14">
        <f>COUNTIFS(Table1[Date],Sheet1!$A59,Table1[Sentiment V1],Sheet1!B$1)</f>
      </c>
      <c r="C59" s="14">
        <f>COUNTIFS(Table1[Date],Sheet1!$A59,Table1[Sentiment V1],Sheet1!C$1)</f>
      </c>
      <c r="D59" s="14">
        <f>COUNTIFS(Table1[Date],Sheet1!$A59,Table1[Sentiment V1],Sheet1!D$1)</f>
      </c>
      <c r="E59" s="16">
        <f>SUMIFS(Sheet2!B:B,Sheet2!A:A,Sheet1!A59)</f>
      </c>
      <c r="F59" s="14">
        <f>B59-C59</f>
      </c>
      <c r="G59" s="12"/>
      <c r="H59" s="13"/>
    </row>
    <row x14ac:dyDescent="0.25" r="60" customHeight="1" ht="18.75" hidden="1">
      <c r="A60" s="9">
        <v>45766</v>
      </c>
      <c r="B60" s="14">
        <f>COUNTIFS(Table1[Date],Sheet1!$A60,Table1[Sentiment V1],Sheet1!B$1)</f>
      </c>
      <c r="C60" s="14">
        <f>COUNTIFS(Table1[Date],Sheet1!$A60,Table1[Sentiment V1],Sheet1!C$1)</f>
      </c>
      <c r="D60" s="14">
        <f>COUNTIFS(Table1[Date],Sheet1!$A60,Table1[Sentiment V1],Sheet1!D$1)</f>
      </c>
      <c r="E60" s="15">
        <f>SUMIFS(Sheet2!B:B,Sheet2!A:A,Sheet1!A60)</f>
      </c>
      <c r="F60" s="14">
        <f>B60-C60</f>
      </c>
      <c r="G60" s="12"/>
      <c r="H60" s="13"/>
    </row>
    <row x14ac:dyDescent="0.25" r="61" customHeight="1" ht="18.75">
      <c r="A61" s="9">
        <v>45765</v>
      </c>
      <c r="B61" s="14">
        <f>COUNTIFS(Table1[Date],Sheet1!$A61,Table1[Sentiment V1],Sheet1!B$1)</f>
      </c>
      <c r="C61" s="14">
        <f>COUNTIFS(Table1[Date],Sheet1!$A61,Table1[Sentiment V1],Sheet1!C$1)</f>
      </c>
      <c r="D61" s="14">
        <f>COUNTIFS(Table1[Date],Sheet1!$A61,Table1[Sentiment V1],Sheet1!D$1)</f>
      </c>
      <c r="E61" s="16">
        <f>SUMIFS(Sheet2!B:B,Sheet2!A:A,Sheet1!A61)</f>
      </c>
      <c r="F61" s="14">
        <f>B61-C61</f>
      </c>
      <c r="G61" s="12"/>
      <c r="H61" s="13"/>
    </row>
    <row x14ac:dyDescent="0.25" r="62" customHeight="1" ht="18.75">
      <c r="A62" s="9">
        <v>45764</v>
      </c>
      <c r="B62" s="14">
        <f>COUNTIFS(Table1[Date],Sheet1!$A62,Table1[Sentiment V1],Sheet1!B$1)</f>
      </c>
      <c r="C62" s="14">
        <f>COUNTIFS(Table1[Date],Sheet1!$A62,Table1[Sentiment V1],Sheet1!C$1)</f>
      </c>
      <c r="D62" s="14">
        <f>COUNTIFS(Table1[Date],Sheet1!$A62,Table1[Sentiment V1],Sheet1!D$1)</f>
      </c>
      <c r="E62" s="16">
        <f>SUMIFS(Sheet2!B:B,Sheet2!A:A,Sheet1!A62)</f>
      </c>
      <c r="F62" s="14">
        <f>B62-C62</f>
      </c>
      <c r="G62" s="12"/>
      <c r="H62" s="13"/>
    </row>
    <row x14ac:dyDescent="0.25" r="63" customHeight="1" ht="18.75">
      <c r="A63" s="9">
        <v>45763</v>
      </c>
      <c r="B63" s="14">
        <f>COUNTIFS(Table1[Date],Sheet1!$A63,Table1[Sentiment V1],Sheet1!B$1)</f>
      </c>
      <c r="C63" s="14">
        <f>COUNTIFS(Table1[Date],Sheet1!$A63,Table1[Sentiment V1],Sheet1!C$1)</f>
      </c>
      <c r="D63" s="14">
        <f>COUNTIFS(Table1[Date],Sheet1!$A63,Table1[Sentiment V1],Sheet1!D$1)</f>
      </c>
      <c r="E63" s="16">
        <f>SUMIFS(Sheet2!B:B,Sheet2!A:A,Sheet1!A63)</f>
      </c>
      <c r="F63" s="14">
        <f>B63-C63</f>
      </c>
      <c r="G63" s="12"/>
      <c r="H63" s="13"/>
    </row>
    <row x14ac:dyDescent="0.25" r="64" customHeight="1" ht="18.75">
      <c r="A64" s="9">
        <v>45762</v>
      </c>
      <c r="B64" s="14">
        <f>COUNTIFS(Table1[Date],Sheet1!$A64,Table1[Sentiment V1],Sheet1!B$1)</f>
      </c>
      <c r="C64" s="14">
        <f>COUNTIFS(Table1[Date],Sheet1!$A64,Table1[Sentiment V1],Sheet1!C$1)</f>
      </c>
      <c r="D64" s="14">
        <f>COUNTIFS(Table1[Date],Sheet1!$A64,Table1[Sentiment V1],Sheet1!D$1)</f>
      </c>
      <c r="E64" s="16">
        <f>SUMIFS(Sheet2!B:B,Sheet2!A:A,Sheet1!A64)</f>
      </c>
      <c r="F64" s="14">
        <f>B64-C64</f>
      </c>
      <c r="G64" s="12"/>
      <c r="H64" s="13"/>
    </row>
    <row x14ac:dyDescent="0.25" r="65" customHeight="1" ht="18.75">
      <c r="A65" s="9">
        <v>45761</v>
      </c>
      <c r="B65" s="14">
        <f>COUNTIFS(Table1[Date],Sheet1!$A65,Table1[Sentiment V1],Sheet1!B$1)</f>
      </c>
      <c r="C65" s="14">
        <f>COUNTIFS(Table1[Date],Sheet1!$A65,Table1[Sentiment V1],Sheet1!C$1)</f>
      </c>
      <c r="D65" s="14">
        <f>COUNTIFS(Table1[Date],Sheet1!$A65,Table1[Sentiment V1],Sheet1!D$1)</f>
      </c>
      <c r="E65" s="16">
        <f>SUMIFS(Sheet2!B:B,Sheet2!A:A,Sheet1!A65)</f>
      </c>
      <c r="F65" s="14">
        <f>B65-C65</f>
      </c>
      <c r="G65" s="12"/>
      <c r="H65" s="13"/>
    </row>
    <row x14ac:dyDescent="0.25" r="66" customHeight="1" ht="18.75" hidden="1">
      <c r="A66" s="9">
        <v>45760</v>
      </c>
      <c r="B66" s="14">
        <f>COUNTIFS(Table1[Date],Sheet1!$A66,Table1[Sentiment V1],Sheet1!B$1)</f>
      </c>
      <c r="C66" s="14">
        <f>COUNTIFS(Table1[Date],Sheet1!$A66,Table1[Sentiment V1],Sheet1!C$1)</f>
      </c>
      <c r="D66" s="14">
        <f>COUNTIFS(Table1[Date],Sheet1!$A66,Table1[Sentiment V1],Sheet1!D$1)</f>
      </c>
      <c r="E66" s="15">
        <f>SUMIFS(Sheet2!B:B,Sheet2!A:A,Sheet1!A66)</f>
      </c>
      <c r="F66" s="14">
        <f>B66-C66</f>
      </c>
      <c r="G66" s="12"/>
      <c r="H66" s="13"/>
    </row>
    <row x14ac:dyDescent="0.25" r="67" customHeight="1" ht="18.75" hidden="1">
      <c r="A67" s="9">
        <v>45759</v>
      </c>
      <c r="B67" s="14">
        <f>COUNTIFS(Table1[Date],Sheet1!$A67,Table1[Sentiment V1],Sheet1!B$1)</f>
      </c>
      <c r="C67" s="14">
        <f>COUNTIFS(Table1[Date],Sheet1!$A67,Table1[Sentiment V1],Sheet1!C$1)</f>
      </c>
      <c r="D67" s="14">
        <f>COUNTIFS(Table1[Date],Sheet1!$A67,Table1[Sentiment V1],Sheet1!D$1)</f>
      </c>
      <c r="E67" s="15">
        <f>SUMIFS(Sheet2!B:B,Sheet2!A:A,Sheet1!A67)</f>
      </c>
      <c r="F67" s="14">
        <f>B67-C67</f>
      </c>
      <c r="G67" s="12"/>
      <c r="H67" s="13"/>
    </row>
    <row x14ac:dyDescent="0.25" r="68" customHeight="1" ht="18.75">
      <c r="A68" s="9">
        <v>45758</v>
      </c>
      <c r="B68" s="14">
        <f>COUNTIFS(Table1[Date],Sheet1!$A68,Table1[Sentiment V1],Sheet1!B$1)</f>
      </c>
      <c r="C68" s="14">
        <f>COUNTIFS(Table1[Date],Sheet1!$A68,Table1[Sentiment V1],Sheet1!C$1)</f>
      </c>
      <c r="D68" s="14">
        <f>COUNTIFS(Table1[Date],Sheet1!$A68,Table1[Sentiment V1],Sheet1!D$1)</f>
      </c>
      <c r="E68" s="16">
        <f>SUMIFS(Sheet2!B:B,Sheet2!A:A,Sheet1!A68)</f>
      </c>
      <c r="F68" s="14">
        <f>B68-C68</f>
      </c>
      <c r="G68" s="12"/>
      <c r="H68" s="13"/>
    </row>
    <row x14ac:dyDescent="0.25" r="69" customHeight="1" ht="18.75">
      <c r="A69" s="9">
        <v>45757</v>
      </c>
      <c r="B69" s="14">
        <f>COUNTIFS(Table1[Date],Sheet1!$A69,Table1[Sentiment V1],Sheet1!B$1)</f>
      </c>
      <c r="C69" s="14">
        <f>COUNTIFS(Table1[Date],Sheet1!$A69,Table1[Sentiment V1],Sheet1!C$1)</f>
      </c>
      <c r="D69" s="14">
        <f>COUNTIFS(Table1[Date],Sheet1!$A69,Table1[Sentiment V1],Sheet1!D$1)</f>
      </c>
      <c r="E69" s="16">
        <f>SUMIFS(Sheet2!B:B,Sheet2!A:A,Sheet1!A69)</f>
      </c>
      <c r="F69" s="14">
        <f>B69-C69</f>
      </c>
      <c r="G69" s="12"/>
      <c r="H69" s="13"/>
    </row>
    <row x14ac:dyDescent="0.25" r="70" customHeight="1" ht="18.75">
      <c r="A70" s="9">
        <v>45756</v>
      </c>
      <c r="B70" s="14">
        <f>COUNTIFS(Table1[Date],Sheet1!$A70,Table1[Sentiment V1],Sheet1!B$1)</f>
      </c>
      <c r="C70" s="14">
        <f>COUNTIFS(Table1[Date],Sheet1!$A70,Table1[Sentiment V1],Sheet1!C$1)</f>
      </c>
      <c r="D70" s="14">
        <f>COUNTIFS(Table1[Date],Sheet1!$A70,Table1[Sentiment V1],Sheet1!D$1)</f>
      </c>
      <c r="E70" s="16">
        <f>SUMIFS(Sheet2!B:B,Sheet2!A:A,Sheet1!A70)</f>
      </c>
      <c r="F70" s="14">
        <f>B70-C70</f>
      </c>
      <c r="G70" s="12"/>
      <c r="H70" s="13"/>
    </row>
    <row x14ac:dyDescent="0.25" r="71" customHeight="1" ht="18.75">
      <c r="A71" s="9">
        <v>45755</v>
      </c>
      <c r="B71" s="14">
        <f>COUNTIFS(Table1[Date],Sheet1!$A71,Table1[Sentiment V1],Sheet1!B$1)</f>
      </c>
      <c r="C71" s="14">
        <f>COUNTIFS(Table1[Date],Sheet1!$A71,Table1[Sentiment V1],Sheet1!C$1)</f>
      </c>
      <c r="D71" s="14">
        <f>COUNTIFS(Table1[Date],Sheet1!$A71,Table1[Sentiment V1],Sheet1!D$1)</f>
      </c>
      <c r="E71" s="16">
        <f>SUMIFS(Sheet2!B:B,Sheet2!A:A,Sheet1!A71)</f>
      </c>
      <c r="F71" s="14">
        <f>B71-C71</f>
      </c>
      <c r="G71" s="12"/>
      <c r="H71" s="13"/>
    </row>
    <row x14ac:dyDescent="0.25" r="72" customHeight="1" ht="18.75">
      <c r="A72" s="9">
        <v>45754</v>
      </c>
      <c r="B72" s="14">
        <f>COUNTIFS(Table1[Date],Sheet1!$A72,Table1[Sentiment V1],Sheet1!B$1)</f>
      </c>
      <c r="C72" s="14">
        <f>COUNTIFS(Table1[Date],Sheet1!$A72,Table1[Sentiment V1],Sheet1!C$1)</f>
      </c>
      <c r="D72" s="14">
        <f>COUNTIFS(Table1[Date],Sheet1!$A72,Table1[Sentiment V1],Sheet1!D$1)</f>
      </c>
      <c r="E72" s="16">
        <f>SUMIFS(Sheet2!B:B,Sheet2!A:A,Sheet1!A72)</f>
      </c>
      <c r="F72" s="14">
        <f>B72-C72</f>
      </c>
      <c r="G72" s="12"/>
      <c r="H72" s="13"/>
    </row>
    <row x14ac:dyDescent="0.25" r="73" customHeight="1" ht="18.75" hidden="1">
      <c r="A73" s="9">
        <v>45752</v>
      </c>
      <c r="B73" s="14">
        <f>COUNTIFS(Table1[Date],Sheet1!$A73,Table1[Sentiment V1],Sheet1!B$1)</f>
      </c>
      <c r="C73" s="14">
        <f>COUNTIFS(Table1[Date],Sheet1!$A73,Table1[Sentiment V1],Sheet1!C$1)</f>
      </c>
      <c r="D73" s="14">
        <f>COUNTIFS(Table1[Date],Sheet1!$A73,Table1[Sentiment V1],Sheet1!D$1)</f>
      </c>
      <c r="E73" s="15">
        <f>SUMIFS(Sheet2!B:B,Sheet2!A:A,Sheet1!A73)</f>
      </c>
      <c r="F73" s="14">
        <f>B73-C73</f>
      </c>
      <c r="G73" s="12"/>
      <c r="H73" s="13"/>
    </row>
    <row x14ac:dyDescent="0.25" r="74" customHeight="1" ht="18.75">
      <c r="A74" s="9">
        <v>45751</v>
      </c>
      <c r="B74" s="14">
        <f>COUNTIFS(Table1[Date],Sheet1!$A74,Table1[Sentiment V1],Sheet1!B$1)</f>
      </c>
      <c r="C74" s="14">
        <f>COUNTIFS(Table1[Date],Sheet1!$A74,Table1[Sentiment V1],Sheet1!C$1)</f>
      </c>
      <c r="D74" s="14">
        <f>COUNTIFS(Table1[Date],Sheet1!$A74,Table1[Sentiment V1],Sheet1!D$1)</f>
      </c>
      <c r="E74" s="16">
        <f>SUMIFS(Sheet2!B:B,Sheet2!A:A,Sheet1!A74)</f>
      </c>
      <c r="F74" s="14">
        <f>B74-C74</f>
      </c>
      <c r="G74" s="12"/>
      <c r="H74" s="13"/>
    </row>
    <row x14ac:dyDescent="0.25" r="75" customHeight="1" ht="18.75">
      <c r="A75" s="9">
        <v>45749</v>
      </c>
      <c r="B75" s="14">
        <f>COUNTIFS(Table1[Date],Sheet1!$A75,Table1[Sentiment V1],Sheet1!B$1)</f>
      </c>
      <c r="C75" s="14">
        <f>COUNTIFS(Table1[Date],Sheet1!$A75,Table1[Sentiment V1],Sheet1!C$1)</f>
      </c>
      <c r="D75" s="14">
        <f>COUNTIFS(Table1[Date],Sheet1!$A75,Table1[Sentiment V1],Sheet1!D$1)</f>
      </c>
      <c r="E75" s="16">
        <f>SUMIFS(Sheet2!B:B,Sheet2!A:A,Sheet1!A75)</f>
      </c>
      <c r="F75" s="14">
        <f>B75-C75</f>
      </c>
      <c r="G75" s="12"/>
      <c r="H75" s="13"/>
    </row>
    <row x14ac:dyDescent="0.25" r="76" customHeight="1" ht="18.75">
      <c r="A76" s="9">
        <v>45748</v>
      </c>
      <c r="B76" s="14">
        <f>COUNTIFS(Table1[Date],Sheet1!$A76,Table1[Sentiment V1],Sheet1!B$1)</f>
      </c>
      <c r="C76" s="14">
        <f>COUNTIFS(Table1[Date],Sheet1!$A76,Table1[Sentiment V1],Sheet1!C$1)</f>
      </c>
      <c r="D76" s="14">
        <f>COUNTIFS(Table1[Date],Sheet1!$A76,Table1[Sentiment V1],Sheet1!D$1)</f>
      </c>
      <c r="E76" s="16">
        <f>SUMIFS(Sheet2!B:B,Sheet2!A:A,Sheet1!A76)</f>
      </c>
      <c r="F76" s="14">
        <f>B76-C76</f>
      </c>
      <c r="G76" s="12"/>
      <c r="H76" s="13"/>
    </row>
    <row x14ac:dyDescent="0.25" r="77" customHeight="1" ht="18.75">
      <c r="A77" s="9">
        <v>45747</v>
      </c>
      <c r="B77" s="14">
        <f>COUNTIFS(Table1[Date],Sheet1!$A77,Table1[Sentiment V1],Sheet1!B$1)</f>
      </c>
      <c r="C77" s="14">
        <f>COUNTIFS(Table1[Date],Sheet1!$A77,Table1[Sentiment V1],Sheet1!C$1)</f>
      </c>
      <c r="D77" s="14">
        <f>COUNTIFS(Table1[Date],Sheet1!$A77,Table1[Sentiment V1],Sheet1!D$1)</f>
      </c>
      <c r="E77" s="16">
        <f>SUMIFS(Sheet2!B:B,Sheet2!A:A,Sheet1!A77)</f>
      </c>
      <c r="F77" s="14">
        <f>B77-C77</f>
      </c>
      <c r="G77" s="12"/>
      <c r="H77" s="13"/>
    </row>
    <row x14ac:dyDescent="0.25" r="78" customHeight="1" ht="18.75" hidden="1">
      <c r="A78" s="9">
        <v>45745</v>
      </c>
      <c r="B78" s="14">
        <f>COUNTIFS(Table1[Date],Sheet1!$A78,Table1[Sentiment V1],Sheet1!B$1)</f>
      </c>
      <c r="C78" s="14">
        <f>COUNTIFS(Table1[Date],Sheet1!$A78,Table1[Sentiment V1],Sheet1!C$1)</f>
      </c>
      <c r="D78" s="14">
        <f>COUNTIFS(Table1[Date],Sheet1!$A78,Table1[Sentiment V1],Sheet1!D$1)</f>
      </c>
      <c r="E78" s="15">
        <f>SUMIFS(Sheet2!B:B,Sheet2!A:A,Sheet1!A78)</f>
      </c>
      <c r="F78" s="14">
        <f>B78-C78</f>
      </c>
      <c r="G78" s="12"/>
      <c r="H78" s="13"/>
    </row>
    <row x14ac:dyDescent="0.25" r="79" customHeight="1" ht="18.75">
      <c r="A79" s="9">
        <v>45744</v>
      </c>
      <c r="B79" s="14">
        <f>COUNTIFS(Table1[Date],Sheet1!$A79,Table1[Sentiment V1],Sheet1!B$1)</f>
      </c>
      <c r="C79" s="14">
        <f>COUNTIFS(Table1[Date],Sheet1!$A79,Table1[Sentiment V1],Sheet1!C$1)</f>
      </c>
      <c r="D79" s="14">
        <f>COUNTIFS(Table1[Date],Sheet1!$A79,Table1[Sentiment V1],Sheet1!D$1)</f>
      </c>
      <c r="E79" s="16">
        <f>SUMIFS(Sheet2!B:B,Sheet2!A:A,Sheet1!A79)</f>
      </c>
      <c r="F79" s="14">
        <f>B79-C79</f>
      </c>
      <c r="G79" s="12"/>
      <c r="H79" s="13"/>
    </row>
    <row x14ac:dyDescent="0.25" r="80" customHeight="1" ht="18.75">
      <c r="A80" s="9">
        <v>45743</v>
      </c>
      <c r="B80" s="14">
        <f>COUNTIFS(Table1[Date],Sheet1!$A80,Table1[Sentiment V1],Sheet1!B$1)</f>
      </c>
      <c r="C80" s="14">
        <f>COUNTIFS(Table1[Date],Sheet1!$A80,Table1[Sentiment V1],Sheet1!C$1)</f>
      </c>
      <c r="D80" s="14">
        <f>COUNTIFS(Table1[Date],Sheet1!$A80,Table1[Sentiment V1],Sheet1!D$1)</f>
      </c>
      <c r="E80" s="16">
        <f>SUMIFS(Sheet2!B:B,Sheet2!A:A,Sheet1!A80)</f>
      </c>
      <c r="F80" s="14">
        <f>B80-C80</f>
      </c>
      <c r="G80" s="12"/>
      <c r="H80" s="13"/>
    </row>
    <row x14ac:dyDescent="0.25" r="81" customHeight="1" ht="18.75">
      <c r="A81" s="9">
        <v>45742</v>
      </c>
      <c r="B81" s="14">
        <f>COUNTIFS(Table1[Date],Sheet1!$A81,Table1[Sentiment V1],Sheet1!B$1)</f>
      </c>
      <c r="C81" s="14">
        <f>COUNTIFS(Table1[Date],Sheet1!$A81,Table1[Sentiment V1],Sheet1!C$1)</f>
      </c>
      <c r="D81" s="14">
        <f>COUNTIFS(Table1[Date],Sheet1!$A81,Table1[Sentiment V1],Sheet1!D$1)</f>
      </c>
      <c r="E81" s="16">
        <f>SUMIFS(Sheet2!B:B,Sheet2!A:A,Sheet1!A81)</f>
      </c>
      <c r="F81" s="14">
        <f>B81-C81</f>
      </c>
      <c r="G81" s="12"/>
      <c r="H81" s="13"/>
    </row>
    <row x14ac:dyDescent="0.25" r="82" customHeight="1" ht="18.75">
      <c r="A82" s="9">
        <v>45741</v>
      </c>
      <c r="B82" s="14">
        <f>COUNTIFS(Table1[Date],Sheet1!$A82,Table1[Sentiment V1],Sheet1!B$1)</f>
      </c>
      <c r="C82" s="14">
        <f>COUNTIFS(Table1[Date],Sheet1!$A82,Table1[Sentiment V1],Sheet1!C$1)</f>
      </c>
      <c r="D82" s="14">
        <f>COUNTIFS(Table1[Date],Sheet1!$A82,Table1[Sentiment V1],Sheet1!D$1)</f>
      </c>
      <c r="E82" s="16">
        <f>SUMIFS(Sheet2!B:B,Sheet2!A:A,Sheet1!A82)</f>
      </c>
      <c r="F82" s="14">
        <f>B82-C82</f>
      </c>
      <c r="G82" s="12"/>
      <c r="H82" s="13"/>
    </row>
    <row x14ac:dyDescent="0.25" r="83" customHeight="1" ht="18.75">
      <c r="A83" s="9">
        <v>45740</v>
      </c>
      <c r="B83" s="14">
        <f>COUNTIFS(Table1[Date],Sheet1!$A83,Table1[Sentiment V1],Sheet1!B$1)</f>
      </c>
      <c r="C83" s="14">
        <f>COUNTIFS(Table1[Date],Sheet1!$A83,Table1[Sentiment V1],Sheet1!C$1)</f>
      </c>
      <c r="D83" s="14">
        <f>COUNTIFS(Table1[Date],Sheet1!$A83,Table1[Sentiment V1],Sheet1!D$1)</f>
      </c>
      <c r="E83" s="15">
        <f>SUMIFS(Sheet2!B:B,Sheet2!A:A,Sheet1!A83)</f>
      </c>
      <c r="F83" s="14">
        <f>B83-C83</f>
      </c>
      <c r="G83" s="12"/>
      <c r="H83" s="13"/>
    </row>
    <row x14ac:dyDescent="0.25" r="84" customHeight="1" ht="18.75" hidden="1">
      <c r="A84" s="9">
        <v>45739</v>
      </c>
      <c r="B84" s="14">
        <f>COUNTIFS(Table1[Date],Sheet1!$A84,Table1[Sentiment V1],Sheet1!B$1)</f>
      </c>
      <c r="C84" s="14">
        <f>COUNTIFS(Table1[Date],Sheet1!$A84,Table1[Sentiment V1],Sheet1!C$1)</f>
      </c>
      <c r="D84" s="14">
        <f>COUNTIFS(Table1[Date],Sheet1!$A84,Table1[Sentiment V1],Sheet1!D$1)</f>
      </c>
      <c r="E84" s="15">
        <f>SUMIFS(Sheet2!B:B,Sheet2!A:A,Sheet1!A84)</f>
      </c>
      <c r="F84" s="14">
        <f>B84-C84</f>
      </c>
      <c r="G84" s="12"/>
      <c r="H84" s="13"/>
    </row>
    <row x14ac:dyDescent="0.25" r="85" customHeight="1" ht="18.75">
      <c r="A85" s="9">
        <v>45737</v>
      </c>
      <c r="B85" s="14">
        <f>COUNTIFS(Table1[Date],Sheet1!$A85,Table1[Sentiment V1],Sheet1!B$1)</f>
      </c>
      <c r="C85" s="14">
        <f>COUNTIFS(Table1[Date],Sheet1!$A85,Table1[Sentiment V1],Sheet1!C$1)</f>
      </c>
      <c r="D85" s="14">
        <f>COUNTIFS(Table1[Date],Sheet1!$A85,Table1[Sentiment V1],Sheet1!D$1)</f>
      </c>
      <c r="E85" s="16">
        <f>SUMIFS(Sheet2!B:B,Sheet2!A:A,Sheet1!A85)</f>
      </c>
      <c r="F85" s="14">
        <f>B85-C85</f>
      </c>
      <c r="G85" s="12"/>
      <c r="H85" s="13"/>
    </row>
    <row x14ac:dyDescent="0.25" r="86" customHeight="1" ht="18.75">
      <c r="A86" s="9">
        <v>45736</v>
      </c>
      <c r="B86" s="14">
        <f>COUNTIFS(Table1[Date],Sheet1!$A86,Table1[Sentiment V1],Sheet1!B$1)</f>
      </c>
      <c r="C86" s="14">
        <f>COUNTIFS(Table1[Date],Sheet1!$A86,Table1[Sentiment V1],Sheet1!C$1)</f>
      </c>
      <c r="D86" s="14">
        <f>COUNTIFS(Table1[Date],Sheet1!$A86,Table1[Sentiment V1],Sheet1!D$1)</f>
      </c>
      <c r="E86" s="15">
        <f>SUMIFS(Sheet2!B:B,Sheet2!A:A,Sheet1!A86)</f>
      </c>
      <c r="F86" s="14">
        <f>B86-C86</f>
      </c>
      <c r="G86" s="12"/>
      <c r="H86" s="13"/>
    </row>
    <row x14ac:dyDescent="0.25" r="87" customHeight="1" ht="18.75">
      <c r="A87" s="9">
        <v>45735</v>
      </c>
      <c r="B87" s="14">
        <f>COUNTIFS(Table1[Date],Sheet1!$A87,Table1[Sentiment V1],Sheet1!B$1)</f>
      </c>
      <c r="C87" s="14">
        <f>COUNTIFS(Table1[Date],Sheet1!$A87,Table1[Sentiment V1],Sheet1!C$1)</f>
      </c>
      <c r="D87" s="14">
        <f>COUNTIFS(Table1[Date],Sheet1!$A87,Table1[Sentiment V1],Sheet1!D$1)</f>
      </c>
      <c r="E87" s="16">
        <f>SUMIFS(Sheet2!B:B,Sheet2!A:A,Sheet1!A87)</f>
      </c>
      <c r="F87" s="14">
        <f>B87-C87</f>
      </c>
      <c r="G87" s="12"/>
      <c r="H87" s="13"/>
    </row>
    <row x14ac:dyDescent="0.25" r="88" customHeight="1" ht="18.75">
      <c r="A88" s="9">
        <v>45734</v>
      </c>
      <c r="B88" s="14">
        <f>COUNTIFS(Table1[Date],Sheet1!$A88,Table1[Sentiment V1],Sheet1!B$1)</f>
      </c>
      <c r="C88" s="14">
        <f>COUNTIFS(Table1[Date],Sheet1!$A88,Table1[Sentiment V1],Sheet1!C$1)</f>
      </c>
      <c r="D88" s="14">
        <f>COUNTIFS(Table1[Date],Sheet1!$A88,Table1[Sentiment V1],Sheet1!D$1)</f>
      </c>
      <c r="E88" s="16">
        <f>SUMIFS(Sheet2!B:B,Sheet2!A:A,Sheet1!A88)</f>
      </c>
      <c r="F88" s="14">
        <f>B88-C88</f>
      </c>
      <c r="G88" s="12"/>
      <c r="H88" s="13"/>
    </row>
    <row x14ac:dyDescent="0.25" r="89" customHeight="1" ht="18.75">
      <c r="A89" s="9">
        <v>45733</v>
      </c>
      <c r="B89" s="14">
        <f>COUNTIFS(Table1[Date],Sheet1!$A89,Table1[Sentiment V1],Sheet1!B$1)</f>
      </c>
      <c r="C89" s="14">
        <f>COUNTIFS(Table1[Date],Sheet1!$A89,Table1[Sentiment V1],Sheet1!C$1)</f>
      </c>
      <c r="D89" s="14">
        <f>COUNTIFS(Table1[Date],Sheet1!$A89,Table1[Sentiment V1],Sheet1!D$1)</f>
      </c>
      <c r="E89" s="16">
        <f>SUMIFS(Sheet2!B:B,Sheet2!A:A,Sheet1!A89)</f>
      </c>
      <c r="F89" s="14">
        <f>B89-C89</f>
      </c>
      <c r="G89" s="12"/>
      <c r="H89" s="13"/>
    </row>
    <row x14ac:dyDescent="0.25" r="90" customHeight="1" ht="18.75" hidden="1">
      <c r="A90" s="9">
        <v>45732</v>
      </c>
      <c r="B90" s="14">
        <f>COUNTIFS(Table1[Date],Sheet1!$A90,Table1[Sentiment V1],Sheet1!B$1)</f>
      </c>
      <c r="C90" s="14">
        <f>COUNTIFS(Table1[Date],Sheet1!$A90,Table1[Sentiment V1],Sheet1!C$1)</f>
      </c>
      <c r="D90" s="14">
        <f>COUNTIFS(Table1[Date],Sheet1!$A90,Table1[Sentiment V1],Sheet1!D$1)</f>
      </c>
      <c r="E90" s="15">
        <f>SUMIFS(Sheet2!B:B,Sheet2!A:A,Sheet1!A90)</f>
      </c>
      <c r="F90" s="14">
        <f>B90-C90</f>
      </c>
      <c r="G90" s="12"/>
      <c r="H90" s="13"/>
    </row>
    <row x14ac:dyDescent="0.25" r="91" customHeight="1" ht="18.75" hidden="1">
      <c r="A91" s="9">
        <v>45731</v>
      </c>
      <c r="B91" s="14">
        <f>COUNTIFS(Table1[Date],Sheet1!$A91,Table1[Sentiment V1],Sheet1!B$1)</f>
      </c>
      <c r="C91" s="14">
        <f>COUNTIFS(Table1[Date],Sheet1!$A91,Table1[Sentiment V1],Sheet1!C$1)</f>
      </c>
      <c r="D91" s="14">
        <f>COUNTIFS(Table1[Date],Sheet1!$A91,Table1[Sentiment V1],Sheet1!D$1)</f>
      </c>
      <c r="E91" s="15">
        <f>SUMIFS(Sheet2!B:B,Sheet2!A:A,Sheet1!A91)</f>
      </c>
      <c r="F91" s="14">
        <f>B91-C91</f>
      </c>
      <c r="G91" s="12"/>
      <c r="H91" s="13"/>
    </row>
    <row x14ac:dyDescent="0.25" r="92" customHeight="1" ht="18.75">
      <c r="A92" s="9">
        <v>45730</v>
      </c>
      <c r="B92" s="14">
        <f>COUNTIFS(Table1[Date],Sheet1!$A92,Table1[Sentiment V1],Sheet1!B$1)</f>
      </c>
      <c r="C92" s="14">
        <f>COUNTIFS(Table1[Date],Sheet1!$A92,Table1[Sentiment V1],Sheet1!C$1)</f>
      </c>
      <c r="D92" s="14">
        <f>COUNTIFS(Table1[Date],Sheet1!$A92,Table1[Sentiment V1],Sheet1!D$1)</f>
      </c>
      <c r="E92" s="16">
        <f>SUMIFS(Sheet2!B:B,Sheet2!A:A,Sheet1!A92)</f>
      </c>
      <c r="F92" s="14">
        <f>B92-C92</f>
      </c>
      <c r="G92" s="12"/>
      <c r="H92" s="13"/>
    </row>
    <row x14ac:dyDescent="0.25" r="93" customHeight="1" ht="18.75">
      <c r="A93" s="9">
        <v>45729</v>
      </c>
      <c r="B93" s="14">
        <f>COUNTIFS(Table1[Date],Sheet1!$A93,Table1[Sentiment V1],Sheet1!B$1)</f>
      </c>
      <c r="C93" s="14">
        <f>COUNTIFS(Table1[Date],Sheet1!$A93,Table1[Sentiment V1],Sheet1!C$1)</f>
      </c>
      <c r="D93" s="14">
        <f>COUNTIFS(Table1[Date],Sheet1!$A93,Table1[Sentiment V1],Sheet1!D$1)</f>
      </c>
      <c r="E93" s="16">
        <f>SUMIFS(Sheet2!B:B,Sheet2!A:A,Sheet1!A93)</f>
      </c>
      <c r="F93" s="14">
        <f>B93-C93</f>
      </c>
      <c r="G93" s="12"/>
      <c r="H93" s="13"/>
    </row>
    <row x14ac:dyDescent="0.25" r="94" customHeight="1" ht="18.75">
      <c r="A94" s="9">
        <v>45728</v>
      </c>
      <c r="B94" s="14">
        <f>COUNTIFS(Table1[Date],Sheet1!$A94,Table1[Sentiment V1],Sheet1!B$1)</f>
      </c>
      <c r="C94" s="14">
        <f>COUNTIFS(Table1[Date],Sheet1!$A94,Table1[Sentiment V1],Sheet1!C$1)</f>
      </c>
      <c r="D94" s="14">
        <f>COUNTIFS(Table1[Date],Sheet1!$A94,Table1[Sentiment V1],Sheet1!D$1)</f>
      </c>
      <c r="E94" s="16">
        <f>SUMIFS(Sheet2!B:B,Sheet2!A:A,Sheet1!A94)</f>
      </c>
      <c r="F94" s="14">
        <f>B94-C94</f>
      </c>
      <c r="G94" s="12"/>
      <c r="H94" s="13"/>
    </row>
    <row x14ac:dyDescent="0.25" r="95" customHeight="1" ht="18.75">
      <c r="A95" s="9">
        <v>45727</v>
      </c>
      <c r="B95" s="14">
        <f>COUNTIFS(Table1[Date],Sheet1!$A95,Table1[Sentiment V1],Sheet1!B$1)</f>
      </c>
      <c r="C95" s="14">
        <f>COUNTIFS(Table1[Date],Sheet1!$A95,Table1[Sentiment V1],Sheet1!C$1)</f>
      </c>
      <c r="D95" s="14">
        <f>COUNTIFS(Table1[Date],Sheet1!$A95,Table1[Sentiment V1],Sheet1!D$1)</f>
      </c>
      <c r="E95" s="16">
        <f>SUMIFS(Sheet2!B:B,Sheet2!A:A,Sheet1!A95)</f>
      </c>
      <c r="F95" s="14">
        <f>B95-C95</f>
      </c>
      <c r="G95" s="12"/>
      <c r="H95" s="13"/>
    </row>
    <row x14ac:dyDescent="0.25" r="96" customHeight="1" ht="18.75">
      <c r="A96" s="9">
        <v>45726</v>
      </c>
      <c r="B96" s="14">
        <f>COUNTIFS(Table1[Date],Sheet1!$A96,Table1[Sentiment V1],Sheet1!B$1)</f>
      </c>
      <c r="C96" s="14">
        <f>COUNTIFS(Table1[Date],Sheet1!$A96,Table1[Sentiment V1],Sheet1!C$1)</f>
      </c>
      <c r="D96" s="14">
        <f>COUNTIFS(Table1[Date],Sheet1!$A96,Table1[Sentiment V1],Sheet1!D$1)</f>
      </c>
      <c r="E96" s="16">
        <f>SUMIFS(Sheet2!B:B,Sheet2!A:A,Sheet1!A96)</f>
      </c>
      <c r="F96" s="14">
        <f>B96-C96</f>
      </c>
      <c r="G96" s="12"/>
      <c r="H96" s="13"/>
    </row>
    <row x14ac:dyDescent="0.25" r="97" customHeight="1" ht="18.75" hidden="1">
      <c r="A97" s="9">
        <v>45725</v>
      </c>
      <c r="B97" s="14">
        <f>COUNTIFS(Table1[Date],Sheet1!$A97,Table1[Sentiment V1],Sheet1!B$1)</f>
      </c>
      <c r="C97" s="14">
        <f>COUNTIFS(Table1[Date],Sheet1!$A97,Table1[Sentiment V1],Sheet1!C$1)</f>
      </c>
      <c r="D97" s="14">
        <f>COUNTIFS(Table1[Date],Sheet1!$A97,Table1[Sentiment V1],Sheet1!D$1)</f>
      </c>
      <c r="E97" s="15">
        <f>SUMIFS(Sheet2!B:B,Sheet2!A:A,Sheet1!A97)</f>
      </c>
      <c r="F97" s="14">
        <f>B97-C97</f>
      </c>
      <c r="G97" s="12"/>
      <c r="H97" s="13"/>
    </row>
    <row x14ac:dyDescent="0.25" r="98" customHeight="1" ht="18.75" hidden="1">
      <c r="A98" s="9">
        <v>45724</v>
      </c>
      <c r="B98" s="14">
        <f>COUNTIFS(Table1[Date],Sheet1!$A98,Table1[Sentiment V1],Sheet1!B$1)</f>
      </c>
      <c r="C98" s="14">
        <f>COUNTIFS(Table1[Date],Sheet1!$A98,Table1[Sentiment V1],Sheet1!C$1)</f>
      </c>
      <c r="D98" s="14">
        <f>COUNTIFS(Table1[Date],Sheet1!$A98,Table1[Sentiment V1],Sheet1!D$1)</f>
      </c>
      <c r="E98" s="15">
        <f>SUMIFS(Sheet2!B:B,Sheet2!A:A,Sheet1!A98)</f>
      </c>
      <c r="F98" s="14">
        <f>B98-C98</f>
      </c>
      <c r="G98" s="12"/>
      <c r="H98" s="13"/>
    </row>
    <row x14ac:dyDescent="0.25" r="99" customHeight="1" ht="18.75">
      <c r="A99" s="9">
        <v>45723</v>
      </c>
      <c r="B99" s="14">
        <f>COUNTIFS(Table1[Date],Sheet1!$A99,Table1[Sentiment V1],Sheet1!B$1)</f>
      </c>
      <c r="C99" s="14">
        <f>COUNTIFS(Table1[Date],Sheet1!$A99,Table1[Sentiment V1],Sheet1!C$1)</f>
      </c>
      <c r="D99" s="14">
        <f>COUNTIFS(Table1[Date],Sheet1!$A99,Table1[Sentiment V1],Sheet1!D$1)</f>
      </c>
      <c r="E99" s="16">
        <f>SUMIFS(Sheet2!B:B,Sheet2!A:A,Sheet1!A99)</f>
      </c>
      <c r="F99" s="14">
        <f>B99-C99</f>
      </c>
      <c r="G99" s="12"/>
      <c r="H99" s="13"/>
    </row>
    <row x14ac:dyDescent="0.25" r="100" customHeight="1" ht="18.75">
      <c r="A100" s="9">
        <v>45722</v>
      </c>
      <c r="B100" s="14">
        <f>COUNTIFS(Table1[Date],Sheet1!$A100,Table1[Sentiment V1],Sheet1!B$1)</f>
      </c>
      <c r="C100" s="14">
        <f>COUNTIFS(Table1[Date],Sheet1!$A100,Table1[Sentiment V1],Sheet1!C$1)</f>
      </c>
      <c r="D100" s="14">
        <f>COUNTIFS(Table1[Date],Sheet1!$A100,Table1[Sentiment V1],Sheet1!D$1)</f>
      </c>
      <c r="E100" s="16">
        <f>SUMIFS(Sheet2!B:B,Sheet2!A:A,Sheet1!A100)</f>
      </c>
      <c r="F100" s="14">
        <f>B100-C100</f>
      </c>
      <c r="G100" s="12"/>
      <c r="H100" s="13"/>
    </row>
    <row x14ac:dyDescent="0.25" r="101" customHeight="1" ht="18.75">
      <c r="A101" s="9">
        <v>45721</v>
      </c>
      <c r="B101" s="14">
        <f>COUNTIFS(Table1[Date],Sheet1!$A101,Table1[Sentiment V1],Sheet1!B$1)</f>
      </c>
      <c r="C101" s="14">
        <f>COUNTIFS(Table1[Date],Sheet1!$A101,Table1[Sentiment V1],Sheet1!C$1)</f>
      </c>
      <c r="D101" s="14">
        <f>COUNTIFS(Table1[Date],Sheet1!$A101,Table1[Sentiment V1],Sheet1!D$1)</f>
      </c>
      <c r="E101" s="16">
        <f>SUMIFS(Sheet2!B:B,Sheet2!A:A,Sheet1!A101)</f>
      </c>
      <c r="F101" s="14">
        <f>B101-C101</f>
      </c>
      <c r="G101" s="12"/>
      <c r="H101" s="13"/>
    </row>
    <row x14ac:dyDescent="0.25" r="102" customHeight="1" ht="18.75">
      <c r="A102" s="9">
        <v>45720</v>
      </c>
      <c r="B102" s="14">
        <f>COUNTIFS(Table1[Date],Sheet1!$A102,Table1[Sentiment V1],Sheet1!B$1)</f>
      </c>
      <c r="C102" s="14">
        <f>COUNTIFS(Table1[Date],Sheet1!$A102,Table1[Sentiment V1],Sheet1!C$1)</f>
      </c>
      <c r="D102" s="14">
        <f>COUNTIFS(Table1[Date],Sheet1!$A102,Table1[Sentiment V1],Sheet1!D$1)</f>
      </c>
      <c r="E102" s="16">
        <f>SUMIFS(Sheet2!B:B,Sheet2!A:A,Sheet1!A102)</f>
      </c>
      <c r="F102" s="14">
        <f>B102-C102</f>
      </c>
      <c r="G102" s="12"/>
      <c r="H102" s="13"/>
    </row>
    <row x14ac:dyDescent="0.25" r="103" customHeight="1" ht="18.75">
      <c r="A103" s="9">
        <v>45719</v>
      </c>
      <c r="B103" s="14">
        <f>COUNTIFS(Table1[Date],Sheet1!$A103,Table1[Sentiment V1],Sheet1!B$1)</f>
      </c>
      <c r="C103" s="14">
        <f>COUNTIFS(Table1[Date],Sheet1!$A103,Table1[Sentiment V1],Sheet1!C$1)</f>
      </c>
      <c r="D103" s="14">
        <f>COUNTIFS(Table1[Date],Sheet1!$A103,Table1[Sentiment V1],Sheet1!D$1)</f>
      </c>
      <c r="E103" s="16">
        <f>SUMIFS(Sheet2!B:B,Sheet2!A:A,Sheet1!A103)</f>
      </c>
      <c r="F103" s="14">
        <f>B103-C103</f>
      </c>
      <c r="G103" s="12"/>
      <c r="H103" s="13"/>
    </row>
    <row x14ac:dyDescent="0.25" r="104" customHeight="1" ht="18.75" hidden="1">
      <c r="A104" s="9">
        <v>45718</v>
      </c>
      <c r="B104" s="14">
        <f>COUNTIFS(Table1[Date],Sheet1!$A104,Table1[Sentiment V1],Sheet1!B$1)</f>
      </c>
      <c r="C104" s="14">
        <f>COUNTIFS(Table1[Date],Sheet1!$A104,Table1[Sentiment V1],Sheet1!C$1)</f>
      </c>
      <c r="D104" s="14">
        <f>COUNTIFS(Table1[Date],Sheet1!$A104,Table1[Sentiment V1],Sheet1!D$1)</f>
      </c>
      <c r="E104" s="15">
        <f>SUMIFS(Sheet2!B:B,Sheet2!A:A,Sheet1!A104)</f>
      </c>
      <c r="F104" s="14">
        <f>B104-C104</f>
      </c>
      <c r="G104" s="12"/>
      <c r="H104" s="13"/>
    </row>
    <row x14ac:dyDescent="0.25" r="105" customHeight="1" ht="18.75">
      <c r="A105" s="9">
        <v>45716</v>
      </c>
      <c r="B105" s="14">
        <f>COUNTIFS(Table1[Date],Sheet1!$A105,Table1[Sentiment V1],Sheet1!B$1)</f>
      </c>
      <c r="C105" s="14">
        <f>COUNTIFS(Table1[Date],Sheet1!$A105,Table1[Sentiment V1],Sheet1!C$1)</f>
      </c>
      <c r="D105" s="14">
        <f>COUNTIFS(Table1[Date],Sheet1!$A105,Table1[Sentiment V1],Sheet1!D$1)</f>
      </c>
      <c r="E105" s="16">
        <f>SUMIFS(Sheet2!B:B,Sheet2!A:A,Sheet1!A105)</f>
      </c>
      <c r="F105" s="14">
        <f>B105-C105</f>
      </c>
      <c r="G105" s="12"/>
      <c r="H105" s="13"/>
    </row>
    <row x14ac:dyDescent="0.25" r="106" customHeight="1" ht="18.75">
      <c r="A106" s="9">
        <v>45715</v>
      </c>
      <c r="B106" s="14">
        <f>COUNTIFS(Table1[Date],Sheet1!$A106,Table1[Sentiment V1],Sheet1!B$1)</f>
      </c>
      <c r="C106" s="14">
        <f>COUNTIFS(Table1[Date],Sheet1!$A106,Table1[Sentiment V1],Sheet1!C$1)</f>
      </c>
      <c r="D106" s="14">
        <f>COUNTIFS(Table1[Date],Sheet1!$A106,Table1[Sentiment V1],Sheet1!D$1)</f>
      </c>
      <c r="E106" s="16">
        <f>SUMIFS(Sheet2!B:B,Sheet2!A:A,Sheet1!A106)</f>
      </c>
      <c r="F106" s="14">
        <f>B106-C106</f>
      </c>
      <c r="G106" s="12"/>
      <c r="H106" s="13"/>
    </row>
    <row x14ac:dyDescent="0.25" r="107" customHeight="1" ht="18.75">
      <c r="A107" s="9">
        <v>45714</v>
      </c>
      <c r="B107" s="14">
        <f>COUNTIFS(Table1[Date],Sheet1!$A107,Table1[Sentiment V1],Sheet1!B$1)</f>
      </c>
      <c r="C107" s="14">
        <f>COUNTIFS(Table1[Date],Sheet1!$A107,Table1[Sentiment V1],Sheet1!C$1)</f>
      </c>
      <c r="D107" s="14">
        <f>COUNTIFS(Table1[Date],Sheet1!$A107,Table1[Sentiment V1],Sheet1!D$1)</f>
      </c>
      <c r="E107" s="16">
        <f>SUMIFS(Sheet2!B:B,Sheet2!A:A,Sheet1!A107)</f>
      </c>
      <c r="F107" s="14">
        <f>B107-C107</f>
      </c>
      <c r="G107" s="12"/>
      <c r="H107" s="13"/>
    </row>
    <row x14ac:dyDescent="0.25" r="108" customHeight="1" ht="18.75">
      <c r="A108" s="9">
        <v>45713</v>
      </c>
      <c r="B108" s="14">
        <f>COUNTIFS(Table1[Date],Sheet1!$A108,Table1[Sentiment V1],Sheet1!B$1)</f>
      </c>
      <c r="C108" s="14">
        <f>COUNTIFS(Table1[Date],Sheet1!$A108,Table1[Sentiment V1],Sheet1!C$1)</f>
      </c>
      <c r="D108" s="14">
        <f>COUNTIFS(Table1[Date],Sheet1!$A108,Table1[Sentiment V1],Sheet1!D$1)</f>
      </c>
      <c r="E108" s="16">
        <f>SUMIFS(Sheet2!B:B,Sheet2!A:A,Sheet1!A108)</f>
      </c>
      <c r="F108" s="14">
        <f>B108-C108</f>
      </c>
      <c r="G108" s="12"/>
      <c r="H108" s="13"/>
    </row>
    <row x14ac:dyDescent="0.25" r="109" customHeight="1" ht="18.75">
      <c r="A109" s="9">
        <v>45712</v>
      </c>
      <c r="B109" s="14">
        <f>COUNTIFS(Table1[Date],Sheet1!$A109,Table1[Sentiment V1],Sheet1!B$1)</f>
      </c>
      <c r="C109" s="14">
        <f>COUNTIFS(Table1[Date],Sheet1!$A109,Table1[Sentiment V1],Sheet1!C$1)</f>
      </c>
      <c r="D109" s="14">
        <f>COUNTIFS(Table1[Date],Sheet1!$A109,Table1[Sentiment V1],Sheet1!D$1)</f>
      </c>
      <c r="E109" s="16">
        <f>SUMIFS(Sheet2!B:B,Sheet2!A:A,Sheet1!A109)</f>
      </c>
      <c r="F109" s="14">
        <f>B109-C109</f>
      </c>
      <c r="G109" s="12"/>
      <c r="H109" s="13"/>
    </row>
    <row x14ac:dyDescent="0.25" r="110" customHeight="1" ht="18.75" hidden="1">
      <c r="A110" s="9">
        <v>45711</v>
      </c>
      <c r="B110" s="14">
        <f>COUNTIFS(Table1[Date],Sheet1!$A110,Table1[Sentiment V1],Sheet1!B$1)</f>
      </c>
      <c r="C110" s="14">
        <f>COUNTIFS(Table1[Date],Sheet1!$A110,Table1[Sentiment V1],Sheet1!C$1)</f>
      </c>
      <c r="D110" s="14">
        <f>COUNTIFS(Table1[Date],Sheet1!$A110,Table1[Sentiment V1],Sheet1!D$1)</f>
      </c>
      <c r="E110" s="15">
        <f>SUMIFS(Sheet2!B:B,Sheet2!A:A,Sheet1!A110)</f>
      </c>
      <c r="F110" s="14">
        <f>B110-C110</f>
      </c>
      <c r="G110" s="12"/>
      <c r="H110" s="13"/>
    </row>
    <row x14ac:dyDescent="0.25" r="111" customHeight="1" ht="18.75" hidden="1">
      <c r="A111" s="9">
        <v>45710</v>
      </c>
      <c r="B111" s="14">
        <f>COUNTIFS(Table1[Date],Sheet1!$A111,Table1[Sentiment V1],Sheet1!B$1)</f>
      </c>
      <c r="C111" s="14">
        <f>COUNTIFS(Table1[Date],Sheet1!$A111,Table1[Sentiment V1],Sheet1!C$1)</f>
      </c>
      <c r="D111" s="14">
        <f>COUNTIFS(Table1[Date],Sheet1!$A111,Table1[Sentiment V1],Sheet1!D$1)</f>
      </c>
      <c r="E111" s="15">
        <f>SUMIFS(Sheet2!B:B,Sheet2!A:A,Sheet1!A111)</f>
      </c>
      <c r="F111" s="14">
        <f>B111-C111</f>
      </c>
      <c r="G111" s="12"/>
      <c r="H111" s="13"/>
    </row>
    <row x14ac:dyDescent="0.25" r="112" customHeight="1" ht="18.75">
      <c r="A112" s="9">
        <v>45709</v>
      </c>
      <c r="B112" s="14">
        <f>COUNTIFS(Table1[Date],Sheet1!$A112,Table1[Sentiment V1],Sheet1!B$1)</f>
      </c>
      <c r="C112" s="14">
        <f>COUNTIFS(Table1[Date],Sheet1!$A112,Table1[Sentiment V1],Sheet1!C$1)</f>
      </c>
      <c r="D112" s="14">
        <f>COUNTIFS(Table1[Date],Sheet1!$A112,Table1[Sentiment V1],Sheet1!D$1)</f>
      </c>
      <c r="E112" s="16">
        <f>SUMIFS(Sheet2!B:B,Sheet2!A:A,Sheet1!A112)</f>
      </c>
      <c r="F112" s="14">
        <f>B112-C112</f>
      </c>
      <c r="G112" s="12"/>
      <c r="H112" s="13"/>
    </row>
    <row x14ac:dyDescent="0.25" r="113" customHeight="1" ht="18.75">
      <c r="A113" s="9">
        <v>45708</v>
      </c>
      <c r="B113" s="14">
        <f>COUNTIFS(Table1[Date],Sheet1!$A113,Table1[Sentiment V1],Sheet1!B$1)</f>
      </c>
      <c r="C113" s="14">
        <f>COUNTIFS(Table1[Date],Sheet1!$A113,Table1[Sentiment V1],Sheet1!C$1)</f>
      </c>
      <c r="D113" s="14">
        <f>COUNTIFS(Table1[Date],Sheet1!$A113,Table1[Sentiment V1],Sheet1!D$1)</f>
      </c>
      <c r="E113" s="16">
        <f>SUMIFS(Sheet2!B:B,Sheet2!A:A,Sheet1!A113)</f>
      </c>
      <c r="F113" s="14">
        <f>B113-C113</f>
      </c>
      <c r="G113" s="12"/>
      <c r="H113" s="13"/>
    </row>
    <row x14ac:dyDescent="0.25" r="114" customHeight="1" ht="18.75">
      <c r="A114" s="9">
        <v>45707</v>
      </c>
      <c r="B114" s="14">
        <f>COUNTIFS(Table1[Date],Sheet1!$A114,Table1[Sentiment V1],Sheet1!B$1)</f>
      </c>
      <c r="C114" s="14">
        <f>COUNTIFS(Table1[Date],Sheet1!$A114,Table1[Sentiment V1],Sheet1!C$1)</f>
      </c>
      <c r="D114" s="14">
        <f>COUNTIFS(Table1[Date],Sheet1!$A114,Table1[Sentiment V1],Sheet1!D$1)</f>
      </c>
      <c r="E114" s="16">
        <f>SUMIFS(Sheet2!B:B,Sheet2!A:A,Sheet1!A114)</f>
      </c>
      <c r="F114" s="14">
        <f>B114-C114</f>
      </c>
      <c r="G114" s="12"/>
      <c r="H114" s="13"/>
    </row>
    <row x14ac:dyDescent="0.25" r="115" customHeight="1" ht="18.75">
      <c r="A115" s="9">
        <v>45706</v>
      </c>
      <c r="B115" s="14">
        <f>COUNTIFS(Table1[Date],Sheet1!$A115,Table1[Sentiment V1],Sheet1!B$1)</f>
      </c>
      <c r="C115" s="14">
        <f>COUNTIFS(Table1[Date],Sheet1!$A115,Table1[Sentiment V1],Sheet1!C$1)</f>
      </c>
      <c r="D115" s="14">
        <f>COUNTIFS(Table1[Date],Sheet1!$A115,Table1[Sentiment V1],Sheet1!D$1)</f>
      </c>
      <c r="E115" s="16">
        <f>SUMIFS(Sheet2!B:B,Sheet2!A:A,Sheet1!A115)</f>
      </c>
      <c r="F115" s="14">
        <f>B115-C115</f>
      </c>
      <c r="G115" s="12"/>
      <c r="H115" s="13"/>
    </row>
    <row x14ac:dyDescent="0.25" r="116" customHeight="1" ht="18.75">
      <c r="A116" s="9">
        <v>45705</v>
      </c>
      <c r="B116" s="14">
        <f>COUNTIFS(Table1[Date],Sheet1!$A116,Table1[Sentiment V1],Sheet1!B$1)</f>
      </c>
      <c r="C116" s="14">
        <f>COUNTIFS(Table1[Date],Sheet1!$A116,Table1[Sentiment V1],Sheet1!C$1)</f>
      </c>
      <c r="D116" s="14">
        <f>COUNTIFS(Table1[Date],Sheet1!$A116,Table1[Sentiment V1],Sheet1!D$1)</f>
      </c>
      <c r="E116" s="16">
        <f>SUMIFS(Sheet2!B:B,Sheet2!A:A,Sheet1!A116)</f>
      </c>
      <c r="F116" s="14">
        <f>B116-C116</f>
      </c>
      <c r="G116" s="12"/>
      <c r="H116" s="13"/>
    </row>
    <row x14ac:dyDescent="0.25" r="117" customHeight="1" ht="18.75" hidden="1">
      <c r="A117" s="9">
        <v>45703</v>
      </c>
      <c r="B117" s="14">
        <f>COUNTIFS(Table1[Date],Sheet1!$A117,Table1[Sentiment V1],Sheet1!B$1)</f>
      </c>
      <c r="C117" s="14">
        <f>COUNTIFS(Table1[Date],Sheet1!$A117,Table1[Sentiment V1],Sheet1!C$1)</f>
      </c>
      <c r="D117" s="14">
        <f>COUNTIFS(Table1[Date],Sheet1!$A117,Table1[Sentiment V1],Sheet1!D$1)</f>
      </c>
      <c r="E117" s="15">
        <f>SUMIFS(Sheet2!B:B,Sheet2!A:A,Sheet1!A117)</f>
      </c>
      <c r="F117" s="14">
        <f>B117-C117</f>
      </c>
      <c r="G117" s="12"/>
      <c r="H117" s="13"/>
    </row>
    <row x14ac:dyDescent="0.25" r="118" customHeight="1" ht="18.75">
      <c r="A118" s="9">
        <v>45702</v>
      </c>
      <c r="B118" s="14">
        <f>COUNTIFS(Table1[Date],Sheet1!$A118,Table1[Sentiment V1],Sheet1!B$1)</f>
      </c>
      <c r="C118" s="14">
        <f>COUNTIFS(Table1[Date],Sheet1!$A118,Table1[Sentiment V1],Sheet1!C$1)</f>
      </c>
      <c r="D118" s="14">
        <f>COUNTIFS(Table1[Date],Sheet1!$A118,Table1[Sentiment V1],Sheet1!D$1)</f>
      </c>
      <c r="E118" s="16">
        <f>SUMIFS(Sheet2!B:B,Sheet2!A:A,Sheet1!A118)</f>
      </c>
      <c r="F118" s="14">
        <f>B118-C118</f>
      </c>
      <c r="G118" s="12"/>
      <c r="H118" s="13"/>
    </row>
    <row x14ac:dyDescent="0.25" r="119" customHeight="1" ht="18.75">
      <c r="A119" s="9">
        <v>45701</v>
      </c>
      <c r="B119" s="14">
        <f>COUNTIFS(Table1[Date],Sheet1!$A119,Table1[Sentiment V1],Sheet1!B$1)</f>
      </c>
      <c r="C119" s="14">
        <f>COUNTIFS(Table1[Date],Sheet1!$A119,Table1[Sentiment V1],Sheet1!C$1)</f>
      </c>
      <c r="D119" s="14">
        <f>COUNTIFS(Table1[Date],Sheet1!$A119,Table1[Sentiment V1],Sheet1!D$1)</f>
      </c>
      <c r="E119" s="16">
        <f>SUMIFS(Sheet2!B:B,Sheet2!A:A,Sheet1!A119)</f>
      </c>
      <c r="F119" s="14">
        <f>B119-C119</f>
      </c>
      <c r="G119" s="12"/>
      <c r="H119" s="13"/>
    </row>
    <row x14ac:dyDescent="0.25" r="120" customHeight="1" ht="18.75">
      <c r="A120" s="9">
        <v>45700</v>
      </c>
      <c r="B120" s="14">
        <f>COUNTIFS(Table1[Date],Sheet1!$A120,Table1[Sentiment V1],Sheet1!B$1)</f>
      </c>
      <c r="C120" s="14">
        <f>COUNTIFS(Table1[Date],Sheet1!$A120,Table1[Sentiment V1],Sheet1!C$1)</f>
      </c>
      <c r="D120" s="14">
        <f>COUNTIFS(Table1[Date],Sheet1!$A120,Table1[Sentiment V1],Sheet1!D$1)</f>
      </c>
      <c r="E120" s="16">
        <f>SUMIFS(Sheet2!B:B,Sheet2!A:A,Sheet1!A120)</f>
      </c>
      <c r="F120" s="14">
        <f>B120-C120</f>
      </c>
      <c r="G120" s="12"/>
      <c r="H120" s="13"/>
    </row>
    <row x14ac:dyDescent="0.25" r="121" customHeight="1" ht="18.75">
      <c r="A121" s="9">
        <v>45699</v>
      </c>
      <c r="B121" s="14">
        <f>COUNTIFS(Table1[Date],Sheet1!$A121,Table1[Sentiment V1],Sheet1!B$1)</f>
      </c>
      <c r="C121" s="14">
        <f>COUNTIFS(Table1[Date],Sheet1!$A121,Table1[Sentiment V1],Sheet1!C$1)</f>
      </c>
      <c r="D121" s="14">
        <f>COUNTIFS(Table1[Date],Sheet1!$A121,Table1[Sentiment V1],Sheet1!D$1)</f>
      </c>
      <c r="E121" s="15">
        <f>SUMIFS(Sheet2!B:B,Sheet2!A:A,Sheet1!A121)</f>
      </c>
      <c r="F121" s="14">
        <f>B121-C121</f>
      </c>
      <c r="G121" s="12"/>
      <c r="H121" s="13"/>
    </row>
    <row x14ac:dyDescent="0.25" r="122" customHeight="1" ht="18.75">
      <c r="A122" s="9">
        <v>45698</v>
      </c>
      <c r="B122" s="14">
        <f>COUNTIFS(Table1[Date],Sheet1!$A122,Table1[Sentiment V1],Sheet1!B$1)</f>
      </c>
      <c r="C122" s="14">
        <f>COUNTIFS(Table1[Date],Sheet1!$A122,Table1[Sentiment V1],Sheet1!C$1)</f>
      </c>
      <c r="D122" s="14">
        <f>COUNTIFS(Table1[Date],Sheet1!$A122,Table1[Sentiment V1],Sheet1!D$1)</f>
      </c>
      <c r="E122" s="16">
        <f>SUMIFS(Sheet2!B:B,Sheet2!A:A,Sheet1!A122)</f>
      </c>
      <c r="F122" s="14">
        <f>B122-C122</f>
      </c>
      <c r="G122" s="12"/>
      <c r="H122" s="13"/>
    </row>
    <row x14ac:dyDescent="0.25" r="123" customHeight="1" ht="18.75" hidden="1">
      <c r="A123" s="9">
        <v>45697</v>
      </c>
      <c r="B123" s="14">
        <f>COUNTIFS(Table1[Date],Sheet1!$A123,Table1[Sentiment V1],Sheet1!B$1)</f>
      </c>
      <c r="C123" s="14">
        <f>COUNTIFS(Table1[Date],Sheet1!$A123,Table1[Sentiment V1],Sheet1!C$1)</f>
      </c>
      <c r="D123" s="14">
        <f>COUNTIFS(Table1[Date],Sheet1!$A123,Table1[Sentiment V1],Sheet1!D$1)</f>
      </c>
      <c r="E123" s="15">
        <f>SUMIFS(Sheet2!B:B,Sheet2!A:A,Sheet1!A123)</f>
      </c>
      <c r="F123" s="14">
        <f>B123-C123</f>
      </c>
      <c r="G123" s="12"/>
      <c r="H123" s="13"/>
    </row>
    <row x14ac:dyDescent="0.25" r="124" customHeight="1" ht="18.75">
      <c r="A124" s="9">
        <v>45695</v>
      </c>
      <c r="B124" s="14">
        <f>COUNTIFS(Table1[Date],Sheet1!$A124,Table1[Sentiment V1],Sheet1!B$1)</f>
      </c>
      <c r="C124" s="14">
        <f>COUNTIFS(Table1[Date],Sheet1!$A124,Table1[Sentiment V1],Sheet1!C$1)</f>
      </c>
      <c r="D124" s="14">
        <f>COUNTIFS(Table1[Date],Sheet1!$A124,Table1[Sentiment V1],Sheet1!D$1)</f>
      </c>
      <c r="E124" s="16">
        <f>SUMIFS(Sheet2!B:B,Sheet2!A:A,Sheet1!A124)</f>
      </c>
      <c r="F124" s="14">
        <f>B124-C124</f>
      </c>
      <c r="G124" s="12"/>
      <c r="H124" s="13"/>
    </row>
    <row x14ac:dyDescent="0.25" r="125" customHeight="1" ht="18.75">
      <c r="A125" s="9">
        <v>45694</v>
      </c>
      <c r="B125" s="14">
        <f>COUNTIFS(Table1[Date],Sheet1!$A125,Table1[Sentiment V1],Sheet1!B$1)</f>
      </c>
      <c r="C125" s="14">
        <f>COUNTIFS(Table1[Date],Sheet1!$A125,Table1[Sentiment V1],Sheet1!C$1)</f>
      </c>
      <c r="D125" s="14">
        <f>COUNTIFS(Table1[Date],Sheet1!$A125,Table1[Sentiment V1],Sheet1!D$1)</f>
      </c>
      <c r="E125" s="16">
        <f>SUMIFS(Sheet2!B:B,Sheet2!A:A,Sheet1!A125)</f>
      </c>
      <c r="F125" s="14">
        <f>B125-C125</f>
      </c>
      <c r="G125" s="12"/>
      <c r="H125" s="13"/>
    </row>
    <row x14ac:dyDescent="0.25" r="126" customHeight="1" ht="18.75">
      <c r="A126" s="9">
        <v>45693</v>
      </c>
      <c r="B126" s="14">
        <f>COUNTIFS(Table1[Date],Sheet1!$A126,Table1[Sentiment V1],Sheet1!B$1)</f>
      </c>
      <c r="C126" s="14">
        <f>COUNTIFS(Table1[Date],Sheet1!$A126,Table1[Sentiment V1],Sheet1!C$1)</f>
      </c>
      <c r="D126" s="14">
        <f>COUNTIFS(Table1[Date],Sheet1!$A126,Table1[Sentiment V1],Sheet1!D$1)</f>
      </c>
      <c r="E126" s="16">
        <f>SUMIFS(Sheet2!B:B,Sheet2!A:A,Sheet1!A126)</f>
      </c>
      <c r="F126" s="14">
        <f>B126-C126</f>
      </c>
      <c r="G126" s="12"/>
      <c r="H126" s="13"/>
    </row>
    <row x14ac:dyDescent="0.25" r="127" customHeight="1" ht="18.75">
      <c r="A127" s="9">
        <v>45692</v>
      </c>
      <c r="B127" s="14">
        <f>COUNTIFS(Table1[Date],Sheet1!$A127,Table1[Sentiment V1],Sheet1!B$1)</f>
      </c>
      <c r="C127" s="14">
        <f>COUNTIFS(Table1[Date],Sheet1!$A127,Table1[Sentiment V1],Sheet1!C$1)</f>
      </c>
      <c r="D127" s="14">
        <f>COUNTIFS(Table1[Date],Sheet1!$A127,Table1[Sentiment V1],Sheet1!D$1)</f>
      </c>
      <c r="E127" s="16">
        <f>SUMIFS(Sheet2!B:B,Sheet2!A:A,Sheet1!A127)</f>
      </c>
      <c r="F127" s="14">
        <f>B127-C127</f>
      </c>
      <c r="G127" s="12"/>
      <c r="H127" s="13"/>
    </row>
    <row x14ac:dyDescent="0.25" r="128" customHeight="1" ht="18.75">
      <c r="A128" s="9">
        <v>45691</v>
      </c>
      <c r="B128" s="14">
        <f>COUNTIFS(Table1[Date],Sheet1!$A128,Table1[Sentiment V1],Sheet1!B$1)</f>
      </c>
      <c r="C128" s="14">
        <f>COUNTIFS(Table1[Date],Sheet1!$A128,Table1[Sentiment V1],Sheet1!C$1)</f>
      </c>
      <c r="D128" s="14">
        <f>COUNTIFS(Table1[Date],Sheet1!$A128,Table1[Sentiment V1],Sheet1!D$1)</f>
      </c>
      <c r="E128" s="16">
        <f>SUMIFS(Sheet2!B:B,Sheet2!A:A,Sheet1!A128)</f>
      </c>
      <c r="F128" s="14">
        <f>B128-C128</f>
      </c>
      <c r="G128" s="12"/>
      <c r="H128" s="13"/>
    </row>
    <row x14ac:dyDescent="0.25" r="129" customHeight="1" ht="18.75" hidden="1">
      <c r="A129" s="9">
        <v>45689</v>
      </c>
      <c r="B129" s="14">
        <f>COUNTIFS(Table1[Date],Sheet1!$A129,Table1[Sentiment V1],Sheet1!B$1)</f>
      </c>
      <c r="C129" s="14">
        <f>COUNTIFS(Table1[Date],Sheet1!$A129,Table1[Sentiment V1],Sheet1!C$1)</f>
      </c>
      <c r="D129" s="14">
        <f>COUNTIFS(Table1[Date],Sheet1!$A129,Table1[Sentiment V1],Sheet1!D$1)</f>
      </c>
      <c r="E129" s="15">
        <f>SUMIFS(Sheet2!B:B,Sheet2!A:A,Sheet1!A129)</f>
      </c>
      <c r="F129" s="14">
        <f>B129-C129</f>
      </c>
      <c r="G129" s="12"/>
      <c r="H129" s="13"/>
    </row>
    <row x14ac:dyDescent="0.25" r="130" customHeight="1" ht="18.75">
      <c r="A130" s="9">
        <v>45688</v>
      </c>
      <c r="B130" s="14">
        <f>COUNTIFS(Table1[Date],Sheet1!$A130,Table1[Sentiment V1],Sheet1!B$1)</f>
      </c>
      <c r="C130" s="14">
        <f>COUNTIFS(Table1[Date],Sheet1!$A130,Table1[Sentiment V1],Sheet1!C$1)</f>
      </c>
      <c r="D130" s="14">
        <f>COUNTIFS(Table1[Date],Sheet1!$A130,Table1[Sentiment V1],Sheet1!D$1)</f>
      </c>
      <c r="E130" s="16">
        <f>SUMIFS(Sheet2!B:B,Sheet2!A:A,Sheet1!A130)</f>
      </c>
      <c r="F130" s="14">
        <f>B130-C130</f>
      </c>
      <c r="G130" s="12"/>
      <c r="H130" s="13"/>
    </row>
    <row x14ac:dyDescent="0.25" r="131" customHeight="1" ht="18.75">
      <c r="A131" s="9">
        <v>45687</v>
      </c>
      <c r="B131" s="14">
        <f>COUNTIFS(Table1[Date],Sheet1!$A131,Table1[Sentiment V1],Sheet1!B$1)</f>
      </c>
      <c r="C131" s="14">
        <f>COUNTIFS(Table1[Date],Sheet1!$A131,Table1[Sentiment V1],Sheet1!C$1)</f>
      </c>
      <c r="D131" s="14">
        <f>COUNTIFS(Table1[Date],Sheet1!$A131,Table1[Sentiment V1],Sheet1!D$1)</f>
      </c>
      <c r="E131" s="16">
        <f>SUMIFS(Sheet2!B:B,Sheet2!A:A,Sheet1!A131)</f>
      </c>
      <c r="F131" s="14">
        <f>B131-C131</f>
      </c>
      <c r="G131" s="12"/>
      <c r="H131" s="13"/>
    </row>
    <row x14ac:dyDescent="0.25" r="132" customHeight="1" ht="18.75">
      <c r="A132" s="9">
        <v>45686</v>
      </c>
      <c r="B132" s="14">
        <f>COUNTIFS(Table1[Date],Sheet1!$A132,Table1[Sentiment V1],Sheet1!B$1)</f>
      </c>
      <c r="C132" s="14">
        <f>COUNTIFS(Table1[Date],Sheet1!$A132,Table1[Sentiment V1],Sheet1!C$1)</f>
      </c>
      <c r="D132" s="14">
        <f>COUNTIFS(Table1[Date],Sheet1!$A132,Table1[Sentiment V1],Sheet1!D$1)</f>
      </c>
      <c r="E132" s="16">
        <f>SUMIFS(Sheet2!B:B,Sheet2!A:A,Sheet1!A132)</f>
      </c>
      <c r="F132" s="14">
        <f>B132-C132</f>
      </c>
      <c r="G132" s="12"/>
      <c r="H132" s="13"/>
    </row>
    <row x14ac:dyDescent="0.25" r="133" customHeight="1" ht="18.75">
      <c r="A133" s="9">
        <v>45685</v>
      </c>
      <c r="B133" s="14">
        <f>COUNTIFS(Table1[Date],Sheet1!$A133,Table1[Sentiment V1],Sheet1!B$1)</f>
      </c>
      <c r="C133" s="14">
        <f>COUNTIFS(Table1[Date],Sheet1!$A133,Table1[Sentiment V1],Sheet1!C$1)</f>
      </c>
      <c r="D133" s="14">
        <f>COUNTIFS(Table1[Date],Sheet1!$A133,Table1[Sentiment V1],Sheet1!D$1)</f>
      </c>
      <c r="E133" s="16">
        <f>SUMIFS(Sheet2!B:B,Sheet2!A:A,Sheet1!A133)</f>
      </c>
      <c r="F133" s="14">
        <f>B133-C133</f>
      </c>
      <c r="G133" s="12"/>
      <c r="H133" s="13"/>
    </row>
    <row x14ac:dyDescent="0.25" r="134" customHeight="1" ht="18.75">
      <c r="A134" s="9">
        <v>45684</v>
      </c>
      <c r="B134" s="14">
        <f>COUNTIFS(Table1[Date],Sheet1!$A134,Table1[Sentiment V1],Sheet1!B$1)</f>
      </c>
      <c r="C134" s="14">
        <f>COUNTIFS(Table1[Date],Sheet1!$A134,Table1[Sentiment V1],Sheet1!C$1)</f>
      </c>
      <c r="D134" s="14">
        <f>COUNTIFS(Table1[Date],Sheet1!$A134,Table1[Sentiment V1],Sheet1!D$1)</f>
      </c>
      <c r="E134" s="16">
        <f>SUMIFS(Sheet2!B:B,Sheet2!A:A,Sheet1!A134)</f>
      </c>
      <c r="F134" s="14">
        <f>B134-C134</f>
      </c>
      <c r="G134" s="12"/>
      <c r="H134" s="13"/>
    </row>
    <row x14ac:dyDescent="0.25" r="135" customHeight="1" ht="18.75" hidden="1">
      <c r="A135" s="9">
        <v>45683</v>
      </c>
      <c r="B135" s="14">
        <f>COUNTIFS(Table1[Date],Sheet1!$A135,Table1[Sentiment V1],Sheet1!B$1)</f>
      </c>
      <c r="C135" s="14">
        <f>COUNTIFS(Table1[Date],Sheet1!$A135,Table1[Sentiment V1],Sheet1!C$1)</f>
      </c>
      <c r="D135" s="14">
        <f>COUNTIFS(Table1[Date],Sheet1!$A135,Table1[Sentiment V1],Sheet1!D$1)</f>
      </c>
      <c r="E135" s="15">
        <f>SUMIFS(Sheet2!B:B,Sheet2!A:A,Sheet1!A135)</f>
      </c>
      <c r="F135" s="14">
        <f>B135-C135</f>
      </c>
      <c r="G135" s="12"/>
      <c r="H135" s="13"/>
    </row>
    <row x14ac:dyDescent="0.25" r="136" customHeight="1" ht="18.75" hidden="1">
      <c r="A136" s="9">
        <v>45682</v>
      </c>
      <c r="B136" s="14">
        <f>COUNTIFS(Table1[Date],Sheet1!$A136,Table1[Sentiment V1],Sheet1!B$1)</f>
      </c>
      <c r="C136" s="14">
        <f>COUNTIFS(Table1[Date],Sheet1!$A136,Table1[Sentiment V1],Sheet1!C$1)</f>
      </c>
      <c r="D136" s="14">
        <f>COUNTIFS(Table1[Date],Sheet1!$A136,Table1[Sentiment V1],Sheet1!D$1)</f>
      </c>
      <c r="E136" s="15">
        <f>SUMIFS(Sheet2!B:B,Sheet2!A:A,Sheet1!A136)</f>
      </c>
      <c r="F136" s="14">
        <f>B136-C136</f>
      </c>
      <c r="G136" s="12"/>
      <c r="H136" s="13"/>
    </row>
    <row x14ac:dyDescent="0.25" r="137" customHeight="1" ht="18.75">
      <c r="A137" s="9">
        <v>45681</v>
      </c>
      <c r="B137" s="14">
        <f>COUNTIFS(Table1[Date],Sheet1!$A137,Table1[Sentiment V1],Sheet1!B$1)</f>
      </c>
      <c r="C137" s="14">
        <f>COUNTIFS(Table1[Date],Sheet1!$A137,Table1[Sentiment V1],Sheet1!C$1)</f>
      </c>
      <c r="D137" s="14">
        <f>COUNTIFS(Table1[Date],Sheet1!$A137,Table1[Sentiment V1],Sheet1!D$1)</f>
      </c>
      <c r="E137" s="16">
        <f>SUMIFS(Sheet2!B:B,Sheet2!A:A,Sheet1!A137)</f>
      </c>
      <c r="F137" s="14">
        <f>B137-C137</f>
      </c>
      <c r="G137" s="12"/>
      <c r="H137" s="13"/>
    </row>
    <row x14ac:dyDescent="0.25" r="138" customHeight="1" ht="18.75">
      <c r="A138" s="9">
        <v>45680</v>
      </c>
      <c r="B138" s="14">
        <f>COUNTIFS(Table1[Date],Sheet1!$A138,Table1[Sentiment V1],Sheet1!B$1)</f>
      </c>
      <c r="C138" s="14">
        <f>COUNTIFS(Table1[Date],Sheet1!$A138,Table1[Sentiment V1],Sheet1!C$1)</f>
      </c>
      <c r="D138" s="14">
        <f>COUNTIFS(Table1[Date],Sheet1!$A138,Table1[Sentiment V1],Sheet1!D$1)</f>
      </c>
      <c r="E138" s="16">
        <f>SUMIFS(Sheet2!B:B,Sheet2!A:A,Sheet1!A138)</f>
      </c>
      <c r="F138" s="14">
        <f>B138-C138</f>
      </c>
      <c r="G138" s="12"/>
      <c r="H138" s="13"/>
    </row>
    <row x14ac:dyDescent="0.25" r="139" customHeight="1" ht="18.75">
      <c r="A139" s="9">
        <v>45679</v>
      </c>
      <c r="B139" s="14">
        <f>COUNTIFS(Table1[Date],Sheet1!$A139,Table1[Sentiment V1],Sheet1!B$1)</f>
      </c>
      <c r="C139" s="14">
        <f>COUNTIFS(Table1[Date],Sheet1!$A139,Table1[Sentiment V1],Sheet1!C$1)</f>
      </c>
      <c r="D139" s="14">
        <f>COUNTIFS(Table1[Date],Sheet1!$A139,Table1[Sentiment V1],Sheet1!D$1)</f>
      </c>
      <c r="E139" s="15">
        <f>SUMIFS(Sheet2!B:B,Sheet2!A:A,Sheet1!A139)</f>
      </c>
      <c r="F139" s="14">
        <f>B139-C139</f>
      </c>
      <c r="G139" s="12"/>
      <c r="H139" s="13"/>
    </row>
    <row x14ac:dyDescent="0.25" r="140" customHeight="1" ht="18.75">
      <c r="A140" s="9">
        <v>45678</v>
      </c>
      <c r="B140" s="14">
        <f>COUNTIFS(Table1[Date],Sheet1!$A140,Table1[Sentiment V1],Sheet1!B$1)</f>
      </c>
      <c r="C140" s="14">
        <f>COUNTIFS(Table1[Date],Sheet1!$A140,Table1[Sentiment V1],Sheet1!C$1)</f>
      </c>
      <c r="D140" s="14">
        <f>COUNTIFS(Table1[Date],Sheet1!$A140,Table1[Sentiment V1],Sheet1!D$1)</f>
      </c>
      <c r="E140" s="16">
        <f>SUMIFS(Sheet2!B:B,Sheet2!A:A,Sheet1!A140)</f>
      </c>
      <c r="F140" s="14">
        <f>B140-C140</f>
      </c>
      <c r="G140" s="12"/>
      <c r="H140" s="13"/>
    </row>
    <row x14ac:dyDescent="0.25" r="141" customHeight="1" ht="18.75">
      <c r="A141" s="9">
        <v>45677</v>
      </c>
      <c r="B141" s="14">
        <f>COUNTIFS(Table1[Date],Sheet1!$A141,Table1[Sentiment V1],Sheet1!B$1)</f>
      </c>
      <c r="C141" s="14">
        <f>COUNTIFS(Table1[Date],Sheet1!$A141,Table1[Sentiment V1],Sheet1!C$1)</f>
      </c>
      <c r="D141" s="14">
        <f>COUNTIFS(Table1[Date],Sheet1!$A141,Table1[Sentiment V1],Sheet1!D$1)</f>
      </c>
      <c r="E141" s="16">
        <f>SUMIFS(Sheet2!B:B,Sheet2!A:A,Sheet1!A141)</f>
      </c>
      <c r="F141" s="14">
        <f>B141-C141</f>
      </c>
      <c r="G141" s="12"/>
      <c r="H141" s="13"/>
    </row>
    <row x14ac:dyDescent="0.25" r="142" customHeight="1" ht="18.75" hidden="1">
      <c r="A142" s="9">
        <v>45676</v>
      </c>
      <c r="B142" s="14">
        <f>COUNTIFS(Table1[Date],Sheet1!$A142,Table1[Sentiment V1],Sheet1!B$1)</f>
      </c>
      <c r="C142" s="14">
        <f>COUNTIFS(Table1[Date],Sheet1!$A142,Table1[Sentiment V1],Sheet1!C$1)</f>
      </c>
      <c r="D142" s="14">
        <f>COUNTIFS(Table1[Date],Sheet1!$A142,Table1[Sentiment V1],Sheet1!D$1)</f>
      </c>
      <c r="E142" s="15">
        <f>SUMIFS(Sheet2!B:B,Sheet2!A:A,Sheet1!A142)</f>
      </c>
      <c r="F142" s="14">
        <f>B142-C142</f>
      </c>
      <c r="G142" s="12"/>
      <c r="H142" s="13"/>
    </row>
    <row x14ac:dyDescent="0.25" r="143" customHeight="1" ht="18.75">
      <c r="A143" s="9">
        <v>45674</v>
      </c>
      <c r="B143" s="14">
        <f>COUNTIFS(Table1[Date],Sheet1!$A143,Table1[Sentiment V1],Sheet1!B$1)</f>
      </c>
      <c r="C143" s="14">
        <f>COUNTIFS(Table1[Date],Sheet1!$A143,Table1[Sentiment V1],Sheet1!C$1)</f>
      </c>
      <c r="D143" s="14">
        <f>COUNTIFS(Table1[Date],Sheet1!$A143,Table1[Sentiment V1],Sheet1!D$1)</f>
      </c>
      <c r="E143" s="16">
        <f>SUMIFS(Sheet2!B:B,Sheet2!A:A,Sheet1!A143)</f>
      </c>
      <c r="F143" s="14">
        <f>B143-C143</f>
      </c>
      <c r="G143" s="12"/>
      <c r="H143" s="13"/>
    </row>
    <row x14ac:dyDescent="0.25" r="144" customHeight="1" ht="18.75">
      <c r="A144" s="9">
        <v>45673</v>
      </c>
      <c r="B144" s="14">
        <f>COUNTIFS(Table1[Date],Sheet1!$A144,Table1[Sentiment V1],Sheet1!B$1)</f>
      </c>
      <c r="C144" s="14">
        <f>COUNTIFS(Table1[Date],Sheet1!$A144,Table1[Sentiment V1],Sheet1!C$1)</f>
      </c>
      <c r="D144" s="14">
        <f>COUNTIFS(Table1[Date],Sheet1!$A144,Table1[Sentiment V1],Sheet1!D$1)</f>
      </c>
      <c r="E144" s="16">
        <f>SUMIFS(Sheet2!B:B,Sheet2!A:A,Sheet1!A144)</f>
      </c>
      <c r="F144" s="14">
        <f>B144-C144</f>
      </c>
      <c r="G144" s="12"/>
      <c r="H144" s="13"/>
    </row>
    <row x14ac:dyDescent="0.25" r="145" customHeight="1" ht="18.75">
      <c r="A145" s="9">
        <v>45672</v>
      </c>
      <c r="B145" s="14">
        <f>COUNTIFS(Table1[Date],Sheet1!$A145,Table1[Sentiment V1],Sheet1!B$1)</f>
      </c>
      <c r="C145" s="14">
        <f>COUNTIFS(Table1[Date],Sheet1!$A145,Table1[Sentiment V1],Sheet1!C$1)</f>
      </c>
      <c r="D145" s="14">
        <f>COUNTIFS(Table1[Date],Sheet1!$A145,Table1[Sentiment V1],Sheet1!D$1)</f>
      </c>
      <c r="E145" s="16">
        <f>SUMIFS(Sheet2!B:B,Sheet2!A:A,Sheet1!A145)</f>
      </c>
      <c r="F145" s="14">
        <f>B145-C145</f>
      </c>
      <c r="G145" s="12"/>
      <c r="H145" s="13"/>
    </row>
    <row x14ac:dyDescent="0.25" r="146" customHeight="1" ht="18.75">
      <c r="A146" s="9">
        <v>45671</v>
      </c>
      <c r="B146" s="14">
        <f>COUNTIFS(Table1[Date],Sheet1!$A146,Table1[Sentiment V1],Sheet1!B$1)</f>
      </c>
      <c r="C146" s="14">
        <f>COUNTIFS(Table1[Date],Sheet1!$A146,Table1[Sentiment V1],Sheet1!C$1)</f>
      </c>
      <c r="D146" s="14">
        <f>COUNTIFS(Table1[Date],Sheet1!$A146,Table1[Sentiment V1],Sheet1!D$1)</f>
      </c>
      <c r="E146" s="16">
        <f>SUMIFS(Sheet2!B:B,Sheet2!A:A,Sheet1!A146)</f>
      </c>
      <c r="F146" s="14">
        <f>B146-C146</f>
      </c>
      <c r="G146" s="12"/>
      <c r="H146" s="13"/>
    </row>
    <row x14ac:dyDescent="0.25" r="147" customHeight="1" ht="18.75">
      <c r="A147" s="9">
        <v>45670</v>
      </c>
      <c r="B147" s="14">
        <f>COUNTIFS(Table1[Date],Sheet1!$A147,Table1[Sentiment V1],Sheet1!B$1)</f>
      </c>
      <c r="C147" s="14">
        <f>COUNTIFS(Table1[Date],Sheet1!$A147,Table1[Sentiment V1],Sheet1!C$1)</f>
      </c>
      <c r="D147" s="14">
        <f>COUNTIFS(Table1[Date],Sheet1!$A147,Table1[Sentiment V1],Sheet1!D$1)</f>
      </c>
      <c r="E147" s="16">
        <f>SUMIFS(Sheet2!B:B,Sheet2!A:A,Sheet1!A147)</f>
      </c>
      <c r="F147" s="14">
        <f>B147-C147</f>
      </c>
      <c r="G147" s="12"/>
      <c r="H147" s="13"/>
    </row>
    <row x14ac:dyDescent="0.25" r="148" customHeight="1" ht="18.75" hidden="1">
      <c r="A148" s="9">
        <v>45669</v>
      </c>
      <c r="B148" s="14">
        <f>COUNTIFS(Table1[Date],Sheet1!$A148,Table1[Sentiment V1],Sheet1!B$1)</f>
      </c>
      <c r="C148" s="14">
        <f>COUNTIFS(Table1[Date],Sheet1!$A148,Table1[Sentiment V1],Sheet1!C$1)</f>
      </c>
      <c r="D148" s="14">
        <f>COUNTIFS(Table1[Date],Sheet1!$A148,Table1[Sentiment V1],Sheet1!D$1)</f>
      </c>
      <c r="E148" s="15">
        <f>SUMIFS(Sheet2!B:B,Sheet2!A:A,Sheet1!A148)</f>
      </c>
      <c r="F148" s="14">
        <f>B148-C148</f>
      </c>
      <c r="G148" s="12"/>
      <c r="H148" s="13"/>
    </row>
    <row x14ac:dyDescent="0.25" r="149" customHeight="1" ht="18.75" hidden="1">
      <c r="A149" s="9">
        <v>45668</v>
      </c>
      <c r="B149" s="14">
        <f>COUNTIFS(Table1[Date],Sheet1!$A149,Table1[Sentiment V1],Sheet1!B$1)</f>
      </c>
      <c r="C149" s="14">
        <f>COUNTIFS(Table1[Date],Sheet1!$A149,Table1[Sentiment V1],Sheet1!C$1)</f>
      </c>
      <c r="D149" s="14">
        <f>COUNTIFS(Table1[Date],Sheet1!$A149,Table1[Sentiment V1],Sheet1!D$1)</f>
      </c>
      <c r="E149" s="15">
        <f>SUMIFS(Sheet2!B:B,Sheet2!A:A,Sheet1!A149)</f>
      </c>
      <c r="F149" s="14">
        <f>B149-C149</f>
      </c>
      <c r="G149" s="12"/>
      <c r="H149" s="13"/>
    </row>
    <row x14ac:dyDescent="0.25" r="150" customHeight="1" ht="18.75">
      <c r="A150" s="9">
        <v>45667</v>
      </c>
      <c r="B150" s="14">
        <f>COUNTIFS(Table1[Date],Sheet1!$A150,Table1[Sentiment V1],Sheet1!B$1)</f>
      </c>
      <c r="C150" s="14">
        <f>COUNTIFS(Table1[Date],Sheet1!$A150,Table1[Sentiment V1],Sheet1!C$1)</f>
      </c>
      <c r="D150" s="14">
        <f>COUNTIFS(Table1[Date],Sheet1!$A150,Table1[Sentiment V1],Sheet1!D$1)</f>
      </c>
      <c r="E150" s="16">
        <f>SUMIFS(Sheet2!B:B,Sheet2!A:A,Sheet1!A150)</f>
      </c>
      <c r="F150" s="14">
        <f>B150-C150</f>
      </c>
      <c r="G150" s="12"/>
      <c r="H150" s="13"/>
    </row>
    <row x14ac:dyDescent="0.25" r="151" customHeight="1" ht="18.75">
      <c r="A151" s="9">
        <v>45666</v>
      </c>
      <c r="B151" s="14">
        <f>COUNTIFS(Table1[Date],Sheet1!$A151,Table1[Sentiment V1],Sheet1!B$1)</f>
      </c>
      <c r="C151" s="14">
        <f>COUNTIFS(Table1[Date],Sheet1!$A151,Table1[Sentiment V1],Sheet1!C$1)</f>
      </c>
      <c r="D151" s="14">
        <f>COUNTIFS(Table1[Date],Sheet1!$A151,Table1[Sentiment V1],Sheet1!D$1)</f>
      </c>
      <c r="E151" s="16">
        <f>SUMIFS(Sheet2!B:B,Sheet2!A:A,Sheet1!A151)</f>
      </c>
      <c r="F151" s="14">
        <f>B151-C151</f>
      </c>
      <c r="G151" s="12"/>
      <c r="H151" s="13"/>
    </row>
    <row x14ac:dyDescent="0.25" r="152" customHeight="1" ht="18.75">
      <c r="A152" s="9">
        <v>45665</v>
      </c>
      <c r="B152" s="14">
        <f>COUNTIFS(Table1[Date],Sheet1!$A152,Table1[Sentiment V1],Sheet1!B$1)</f>
      </c>
      <c r="C152" s="14">
        <f>COUNTIFS(Table1[Date],Sheet1!$A152,Table1[Sentiment V1],Sheet1!C$1)</f>
      </c>
      <c r="D152" s="14">
        <f>COUNTIFS(Table1[Date],Sheet1!$A152,Table1[Sentiment V1],Sheet1!D$1)</f>
      </c>
      <c r="E152" s="16">
        <f>SUMIFS(Sheet2!B:B,Sheet2!A:A,Sheet1!A152)</f>
      </c>
      <c r="F152" s="14">
        <f>B152-C152</f>
      </c>
      <c r="G152" s="12"/>
      <c r="H152" s="13"/>
    </row>
    <row x14ac:dyDescent="0.25" r="153" customHeight="1" ht="18.75">
      <c r="A153" s="9">
        <v>45664</v>
      </c>
      <c r="B153" s="14">
        <f>COUNTIFS(Table1[Date],Sheet1!$A153,Table1[Sentiment V1],Sheet1!B$1)</f>
      </c>
      <c r="C153" s="14">
        <f>COUNTIFS(Table1[Date],Sheet1!$A153,Table1[Sentiment V1],Sheet1!C$1)</f>
      </c>
      <c r="D153" s="14">
        <f>COUNTIFS(Table1[Date],Sheet1!$A153,Table1[Sentiment V1],Sheet1!D$1)</f>
      </c>
      <c r="E153" s="16">
        <f>SUMIFS(Sheet2!B:B,Sheet2!A:A,Sheet1!A153)</f>
      </c>
      <c r="F153" s="14">
        <f>B153-C153</f>
      </c>
      <c r="G153" s="12"/>
      <c r="H153" s="13"/>
    </row>
    <row x14ac:dyDescent="0.25" r="154" customHeight="1" ht="18.75">
      <c r="A154" s="9">
        <v>45663</v>
      </c>
      <c r="B154" s="14">
        <f>COUNTIFS(Table1[Date],Sheet1!$A154,Table1[Sentiment V1],Sheet1!B$1)</f>
      </c>
      <c r="C154" s="14">
        <f>COUNTIFS(Table1[Date],Sheet1!$A154,Table1[Sentiment V1],Sheet1!C$1)</f>
      </c>
      <c r="D154" s="14">
        <f>COUNTIFS(Table1[Date],Sheet1!$A154,Table1[Sentiment V1],Sheet1!D$1)</f>
      </c>
      <c r="E154" s="16">
        <f>SUMIFS(Sheet2!B:B,Sheet2!A:A,Sheet1!A154)</f>
      </c>
      <c r="F154" s="14">
        <f>B154-C154</f>
      </c>
      <c r="G154" s="12"/>
      <c r="H154" s="13"/>
    </row>
    <row x14ac:dyDescent="0.25" r="155" customHeight="1" ht="18.75" hidden="1">
      <c r="A155" s="9">
        <v>45662</v>
      </c>
      <c r="B155" s="14">
        <f>COUNTIFS(Table1[Date],Sheet1!$A155,Table1[Sentiment V1],Sheet1!B$1)</f>
      </c>
      <c r="C155" s="14">
        <f>COUNTIFS(Table1[Date],Sheet1!$A155,Table1[Sentiment V1],Sheet1!C$1)</f>
      </c>
      <c r="D155" s="14">
        <f>COUNTIFS(Table1[Date],Sheet1!$A155,Table1[Sentiment V1],Sheet1!D$1)</f>
      </c>
      <c r="E155" s="15">
        <f>SUMIFS(Sheet2!B:B,Sheet2!A:A,Sheet1!A155)</f>
      </c>
      <c r="F155" s="14">
        <f>B155-C155</f>
      </c>
      <c r="G155" s="12"/>
      <c r="H155" s="13"/>
    </row>
    <row x14ac:dyDescent="0.25" r="156" customHeight="1" ht="18.75" hidden="1">
      <c r="A156" s="9">
        <v>45661</v>
      </c>
      <c r="B156" s="14">
        <f>COUNTIFS(Table1[Date],Sheet1!$A156,Table1[Sentiment V1],Sheet1!B$1)</f>
      </c>
      <c r="C156" s="14">
        <f>COUNTIFS(Table1[Date],Sheet1!$A156,Table1[Sentiment V1],Sheet1!C$1)</f>
      </c>
      <c r="D156" s="14">
        <f>COUNTIFS(Table1[Date],Sheet1!$A156,Table1[Sentiment V1],Sheet1!D$1)</f>
      </c>
      <c r="E156" s="15">
        <f>SUMIFS(Sheet2!B:B,Sheet2!A:A,Sheet1!A156)</f>
      </c>
      <c r="F156" s="14">
        <f>B156-C156</f>
      </c>
      <c r="G156" s="12"/>
      <c r="H156" s="13"/>
    </row>
    <row x14ac:dyDescent="0.25" r="157" customHeight="1" ht="18.75">
      <c r="A157" s="9">
        <v>45660</v>
      </c>
      <c r="B157" s="14">
        <f>COUNTIFS(Table1[Date],Sheet1!$A157,Table1[Sentiment V1],Sheet1!B$1)</f>
      </c>
      <c r="C157" s="14">
        <f>COUNTIFS(Table1[Date],Sheet1!$A157,Table1[Sentiment V1],Sheet1!C$1)</f>
      </c>
      <c r="D157" s="14">
        <f>COUNTIFS(Table1[Date],Sheet1!$A157,Table1[Sentiment V1],Sheet1!D$1)</f>
      </c>
      <c r="E157" s="16">
        <f>SUMIFS(Sheet2!B:B,Sheet2!A:A,Sheet1!A157)</f>
      </c>
      <c r="F157" s="14">
        <f>B157-C157</f>
      </c>
      <c r="G157" s="12"/>
      <c r="H157" s="13"/>
    </row>
    <row x14ac:dyDescent="0.25" r="158" customHeight="1" ht="18.75">
      <c r="A158" s="9">
        <v>45659</v>
      </c>
      <c r="B158" s="14">
        <f>COUNTIFS(Table1[Date],Sheet1!$A158,Table1[Sentiment V1],Sheet1!B$1)</f>
      </c>
      <c r="C158" s="14">
        <f>COUNTIFS(Table1[Date],Sheet1!$A158,Table1[Sentiment V1],Sheet1!C$1)</f>
      </c>
      <c r="D158" s="14">
        <f>COUNTIFS(Table1[Date],Sheet1!$A158,Table1[Sentiment V1],Sheet1!D$1)</f>
      </c>
      <c r="E158" s="16">
        <f>SUMIFS(Sheet2!B:B,Sheet2!A:A,Sheet1!A158)</f>
      </c>
      <c r="F158" s="14">
        <f>B158-C158</f>
      </c>
      <c r="G158" s="12"/>
      <c r="H158" s="13"/>
    </row>
    <row x14ac:dyDescent="0.25" r="159" customHeight="1" ht="18.75">
      <c r="A159" s="9">
        <v>45657</v>
      </c>
      <c r="B159" s="14">
        <f>COUNTIFS(Table1[Date],Sheet1!$A159,Table1[Sentiment V1],Sheet1!B$1)</f>
      </c>
      <c r="C159" s="14">
        <f>COUNTIFS(Table1[Date],Sheet1!$A159,Table1[Sentiment V1],Sheet1!C$1)</f>
      </c>
      <c r="D159" s="14">
        <f>COUNTIFS(Table1[Date],Sheet1!$A159,Table1[Sentiment V1],Sheet1!D$1)</f>
      </c>
      <c r="E159" s="16">
        <f>SUMIFS(Sheet2!B:B,Sheet2!A:A,Sheet1!A159)</f>
      </c>
      <c r="F159" s="14">
        <f>B159-C159</f>
      </c>
      <c r="G159" s="12"/>
      <c r="H159" s="13"/>
    </row>
    <row x14ac:dyDescent="0.25" r="160" customHeight="1" ht="18.75">
      <c r="A160" s="9">
        <v>45656</v>
      </c>
      <c r="B160" s="14">
        <f>COUNTIFS(Table1[Date],Sheet1!$A160,Table1[Sentiment V1],Sheet1!B$1)</f>
      </c>
      <c r="C160" s="14">
        <f>COUNTIFS(Table1[Date],Sheet1!$A160,Table1[Sentiment V1],Sheet1!C$1)</f>
      </c>
      <c r="D160" s="14">
        <f>COUNTIFS(Table1[Date],Sheet1!$A160,Table1[Sentiment V1],Sheet1!D$1)</f>
      </c>
      <c r="E160" s="16">
        <f>SUMIFS(Sheet2!B:B,Sheet2!A:A,Sheet1!A160)</f>
      </c>
      <c r="F160" s="14">
        <f>B160-C160</f>
      </c>
      <c r="G160" s="12"/>
      <c r="H160" s="13"/>
    </row>
    <row x14ac:dyDescent="0.25" r="161" customHeight="1" ht="18.75" hidden="1">
      <c r="A161" s="9">
        <v>45655</v>
      </c>
      <c r="B161" s="14">
        <f>COUNTIFS(Table1[Date],Sheet1!$A161,Table1[Sentiment V1],Sheet1!B$1)</f>
      </c>
      <c r="C161" s="14">
        <f>COUNTIFS(Table1[Date],Sheet1!$A161,Table1[Sentiment V1],Sheet1!C$1)</f>
      </c>
      <c r="D161" s="14">
        <f>COUNTIFS(Table1[Date],Sheet1!$A161,Table1[Sentiment V1],Sheet1!D$1)</f>
      </c>
      <c r="E161" s="15">
        <f>SUMIFS(Sheet2!B:B,Sheet2!A:A,Sheet1!A161)</f>
      </c>
      <c r="F161" s="14">
        <f>B161-C161</f>
      </c>
      <c r="G161" s="12"/>
      <c r="H161" s="13"/>
    </row>
    <row x14ac:dyDescent="0.25" r="162" customHeight="1" ht="18.75" hidden="1">
      <c r="A162" s="9">
        <v>45654</v>
      </c>
      <c r="B162" s="14">
        <f>COUNTIFS(Table1[Date],Sheet1!$A162,Table1[Sentiment V1],Sheet1!B$1)</f>
      </c>
      <c r="C162" s="14">
        <f>COUNTIFS(Table1[Date],Sheet1!$A162,Table1[Sentiment V1],Sheet1!C$1)</f>
      </c>
      <c r="D162" s="14">
        <f>COUNTIFS(Table1[Date],Sheet1!$A162,Table1[Sentiment V1],Sheet1!D$1)</f>
      </c>
      <c r="E162" s="15">
        <f>SUMIFS(Sheet2!B:B,Sheet2!A:A,Sheet1!A162)</f>
      </c>
      <c r="F162" s="14">
        <f>B162-C162</f>
      </c>
      <c r="G162" s="12"/>
      <c r="H162" s="13"/>
    </row>
    <row x14ac:dyDescent="0.25" r="163" customHeight="1" ht="18.75">
      <c r="A163" s="9">
        <v>45652</v>
      </c>
      <c r="B163" s="14">
        <f>COUNTIFS(Table1[Date],Sheet1!$A163,Table1[Sentiment V1],Sheet1!B$1)</f>
      </c>
      <c r="C163" s="14">
        <f>COUNTIFS(Table1[Date],Sheet1!$A163,Table1[Sentiment V1],Sheet1!C$1)</f>
      </c>
      <c r="D163" s="14">
        <f>COUNTIFS(Table1[Date],Sheet1!$A163,Table1[Sentiment V1],Sheet1!D$1)</f>
      </c>
      <c r="E163" s="16">
        <f>SUMIFS(Sheet2!B:B,Sheet2!A:A,Sheet1!A163)</f>
      </c>
      <c r="F163" s="14">
        <f>B163-C163</f>
      </c>
      <c r="G163" s="12"/>
      <c r="H163" s="13"/>
    </row>
    <row x14ac:dyDescent="0.25" r="164" customHeight="1" ht="18.75">
      <c r="A164" s="9">
        <v>45651</v>
      </c>
      <c r="B164" s="14">
        <f>COUNTIFS(Table1[Date],Sheet1!$A164,Table1[Sentiment V1],Sheet1!B$1)</f>
      </c>
      <c r="C164" s="14">
        <f>COUNTIFS(Table1[Date],Sheet1!$A164,Table1[Sentiment V1],Sheet1!C$1)</f>
      </c>
      <c r="D164" s="14">
        <f>COUNTIFS(Table1[Date],Sheet1!$A164,Table1[Sentiment V1],Sheet1!D$1)</f>
      </c>
      <c r="E164" s="16">
        <f>SUMIFS(Sheet2!B:B,Sheet2!A:A,Sheet1!A164)</f>
      </c>
      <c r="F164" s="14">
        <f>B164-C164</f>
      </c>
      <c r="G164" s="12"/>
      <c r="H164" s="13"/>
    </row>
    <row x14ac:dyDescent="0.25" r="165" customHeight="1" ht="18.75">
      <c r="A165" s="9">
        <v>45649</v>
      </c>
      <c r="B165" s="14">
        <f>COUNTIFS(Table1[Date],Sheet1!$A165,Table1[Sentiment V1],Sheet1!B$1)</f>
      </c>
      <c r="C165" s="14">
        <f>COUNTIFS(Table1[Date],Sheet1!$A165,Table1[Sentiment V1],Sheet1!C$1)</f>
      </c>
      <c r="D165" s="14">
        <f>COUNTIFS(Table1[Date],Sheet1!$A165,Table1[Sentiment V1],Sheet1!D$1)</f>
      </c>
      <c r="E165" s="16">
        <f>SUMIFS(Sheet2!B:B,Sheet2!A:A,Sheet1!A165)</f>
      </c>
      <c r="F165" s="14">
        <f>B165-C165</f>
      </c>
      <c r="G165" s="12"/>
      <c r="H165" s="13"/>
    </row>
    <row x14ac:dyDescent="0.25" r="166" customHeight="1" ht="18.75" hidden="1">
      <c r="A166" s="9">
        <v>45648</v>
      </c>
      <c r="B166" s="14">
        <f>COUNTIFS(Table1[Date],Sheet1!$A166,Table1[Sentiment V1],Sheet1!B$1)</f>
      </c>
      <c r="C166" s="14">
        <f>COUNTIFS(Table1[Date],Sheet1!$A166,Table1[Sentiment V1],Sheet1!C$1)</f>
      </c>
      <c r="D166" s="14">
        <f>COUNTIFS(Table1[Date],Sheet1!$A166,Table1[Sentiment V1],Sheet1!D$1)</f>
      </c>
      <c r="E166" s="15">
        <f>SUMIFS(Sheet2!B:B,Sheet2!A:A,Sheet1!A166)</f>
      </c>
      <c r="F166" s="14">
        <f>B166-C166</f>
      </c>
      <c r="G166" s="12"/>
      <c r="H166" s="13"/>
    </row>
    <row x14ac:dyDescent="0.25" r="167" customHeight="1" ht="18.75">
      <c r="A167" s="9">
        <v>45646</v>
      </c>
      <c r="B167" s="14">
        <f>COUNTIFS(Table1[Date],Sheet1!$A167,Table1[Sentiment V1],Sheet1!B$1)</f>
      </c>
      <c r="C167" s="14">
        <f>COUNTIFS(Table1[Date],Sheet1!$A167,Table1[Sentiment V1],Sheet1!C$1)</f>
      </c>
      <c r="D167" s="14">
        <f>COUNTIFS(Table1[Date],Sheet1!$A167,Table1[Sentiment V1],Sheet1!D$1)</f>
      </c>
      <c r="E167" s="16">
        <f>SUMIFS(Sheet2!B:B,Sheet2!A:A,Sheet1!A167)</f>
      </c>
      <c r="F167" s="14">
        <f>B167-C167</f>
      </c>
      <c r="G167" s="12"/>
      <c r="H167" s="13"/>
    </row>
    <row x14ac:dyDescent="0.25" r="168" customHeight="1" ht="18.75">
      <c r="A168" s="9">
        <v>45645</v>
      </c>
      <c r="B168" s="14">
        <f>COUNTIFS(Table1[Date],Sheet1!$A168,Table1[Sentiment V1],Sheet1!B$1)</f>
      </c>
      <c r="C168" s="14">
        <f>COUNTIFS(Table1[Date],Sheet1!$A168,Table1[Sentiment V1],Sheet1!C$1)</f>
      </c>
      <c r="D168" s="14">
        <f>COUNTIFS(Table1[Date],Sheet1!$A168,Table1[Sentiment V1],Sheet1!D$1)</f>
      </c>
      <c r="E168" s="16">
        <f>SUMIFS(Sheet2!B:B,Sheet2!A:A,Sheet1!A168)</f>
      </c>
      <c r="F168" s="14">
        <f>B168-C168</f>
      </c>
      <c r="G168" s="12"/>
      <c r="H168" s="13"/>
    </row>
    <row x14ac:dyDescent="0.25" r="169" customHeight="1" ht="18.75">
      <c r="A169" s="9">
        <v>45644</v>
      </c>
      <c r="B169" s="14">
        <f>COUNTIFS(Table1[Date],Sheet1!$A169,Table1[Sentiment V1],Sheet1!B$1)</f>
      </c>
      <c r="C169" s="14">
        <f>COUNTIFS(Table1[Date],Sheet1!$A169,Table1[Sentiment V1],Sheet1!C$1)</f>
      </c>
      <c r="D169" s="14">
        <f>COUNTIFS(Table1[Date],Sheet1!$A169,Table1[Sentiment V1],Sheet1!D$1)</f>
      </c>
      <c r="E169" s="16">
        <f>SUMIFS(Sheet2!B:B,Sheet2!A:A,Sheet1!A169)</f>
      </c>
      <c r="F169" s="14">
        <f>B169-C169</f>
      </c>
      <c r="G169" s="12"/>
      <c r="H169" s="13"/>
    </row>
    <row x14ac:dyDescent="0.25" r="170" customHeight="1" ht="18.75">
      <c r="A170" s="9">
        <v>45643</v>
      </c>
      <c r="B170" s="14">
        <f>COUNTIFS(Table1[Date],Sheet1!$A170,Table1[Sentiment V1],Sheet1!B$1)</f>
      </c>
      <c r="C170" s="14">
        <f>COUNTIFS(Table1[Date],Sheet1!$A170,Table1[Sentiment V1],Sheet1!C$1)</f>
      </c>
      <c r="D170" s="14">
        <f>COUNTIFS(Table1[Date],Sheet1!$A170,Table1[Sentiment V1],Sheet1!D$1)</f>
      </c>
      <c r="E170" s="16">
        <f>SUMIFS(Sheet2!B:B,Sheet2!A:A,Sheet1!A170)</f>
      </c>
      <c r="F170" s="14">
        <f>B170-C170</f>
      </c>
      <c r="G170" s="12"/>
      <c r="H170" s="13"/>
    </row>
    <row x14ac:dyDescent="0.25" r="171" customHeight="1" ht="18.75">
      <c r="A171" s="9">
        <v>45642</v>
      </c>
      <c r="B171" s="14">
        <f>COUNTIFS(Table1[Date],Sheet1!$A171,Table1[Sentiment V1],Sheet1!B$1)</f>
      </c>
      <c r="C171" s="14">
        <f>COUNTIFS(Table1[Date],Sheet1!$A171,Table1[Sentiment V1],Sheet1!C$1)</f>
      </c>
      <c r="D171" s="14">
        <f>COUNTIFS(Table1[Date],Sheet1!$A171,Table1[Sentiment V1],Sheet1!D$1)</f>
      </c>
      <c r="E171" s="16">
        <f>SUMIFS(Sheet2!B:B,Sheet2!A:A,Sheet1!A171)</f>
      </c>
      <c r="F171" s="14">
        <f>B171-C171</f>
      </c>
      <c r="G171" s="12"/>
      <c r="H171" s="13"/>
    </row>
    <row x14ac:dyDescent="0.25" r="172" customHeight="1" ht="18.75" hidden="1">
      <c r="A172" s="9">
        <v>45641</v>
      </c>
      <c r="B172" s="14">
        <f>COUNTIFS(Table1[Date],Sheet1!$A172,Table1[Sentiment V1],Sheet1!B$1)</f>
      </c>
      <c r="C172" s="14">
        <f>COUNTIFS(Table1[Date],Sheet1!$A172,Table1[Sentiment V1],Sheet1!C$1)</f>
      </c>
      <c r="D172" s="14">
        <f>COUNTIFS(Table1[Date],Sheet1!$A172,Table1[Sentiment V1],Sheet1!D$1)</f>
      </c>
      <c r="E172" s="15">
        <f>SUMIFS(Sheet2!B:B,Sheet2!A:A,Sheet1!A172)</f>
      </c>
      <c r="F172" s="14">
        <f>B172-C172</f>
      </c>
      <c r="G172" s="12"/>
      <c r="H172" s="13"/>
    </row>
    <row x14ac:dyDescent="0.25" r="173" customHeight="1" ht="18.75" hidden="1">
      <c r="A173" s="9">
        <v>45640</v>
      </c>
      <c r="B173" s="14">
        <f>COUNTIFS(Table1[Date],Sheet1!$A173,Table1[Sentiment V1],Sheet1!B$1)</f>
      </c>
      <c r="C173" s="14">
        <f>COUNTIFS(Table1[Date],Sheet1!$A173,Table1[Sentiment V1],Sheet1!C$1)</f>
      </c>
      <c r="D173" s="14">
        <f>COUNTIFS(Table1[Date],Sheet1!$A173,Table1[Sentiment V1],Sheet1!D$1)</f>
      </c>
      <c r="E173" s="15">
        <f>SUMIFS(Sheet2!B:B,Sheet2!A:A,Sheet1!A173)</f>
      </c>
      <c r="F173" s="14">
        <f>B173-C173</f>
      </c>
      <c r="G173" s="12"/>
      <c r="H173" s="13"/>
    </row>
    <row x14ac:dyDescent="0.25" r="174" customHeight="1" ht="18.75">
      <c r="A174" s="9">
        <v>45639</v>
      </c>
      <c r="B174" s="14">
        <f>COUNTIFS(Table1[Date],Sheet1!$A174,Table1[Sentiment V1],Sheet1!B$1)</f>
      </c>
      <c r="C174" s="14">
        <f>COUNTIFS(Table1[Date],Sheet1!$A174,Table1[Sentiment V1],Sheet1!C$1)</f>
      </c>
      <c r="D174" s="14">
        <f>COUNTIFS(Table1[Date],Sheet1!$A174,Table1[Sentiment V1],Sheet1!D$1)</f>
      </c>
      <c r="E174" s="16">
        <f>SUMIFS(Sheet2!B:B,Sheet2!A:A,Sheet1!A174)</f>
      </c>
      <c r="F174" s="14">
        <f>B174-C174</f>
      </c>
      <c r="G174" s="12"/>
      <c r="H174" s="13"/>
    </row>
    <row x14ac:dyDescent="0.25" r="175" customHeight="1" ht="18.75">
      <c r="A175" s="9">
        <v>45637</v>
      </c>
      <c r="B175" s="14">
        <f>COUNTIFS(Table1[Date],Sheet1!$A175,Table1[Sentiment V1],Sheet1!B$1)</f>
      </c>
      <c r="C175" s="14">
        <f>COUNTIFS(Table1[Date],Sheet1!$A175,Table1[Sentiment V1],Sheet1!C$1)</f>
      </c>
      <c r="D175" s="14">
        <f>COUNTIFS(Table1[Date],Sheet1!$A175,Table1[Sentiment V1],Sheet1!D$1)</f>
      </c>
      <c r="E175" s="16">
        <f>SUMIFS(Sheet2!B:B,Sheet2!A:A,Sheet1!A175)</f>
      </c>
      <c r="F175" s="14">
        <f>B175-C175</f>
      </c>
      <c r="G175" s="12"/>
      <c r="H175" s="13"/>
    </row>
    <row x14ac:dyDescent="0.25" r="176" customHeight="1" ht="18.75">
      <c r="A176" s="9">
        <v>45636</v>
      </c>
      <c r="B176" s="14">
        <f>COUNTIFS(Table1[Date],Sheet1!$A176,Table1[Sentiment V1],Sheet1!B$1)</f>
      </c>
      <c r="C176" s="14">
        <f>COUNTIFS(Table1[Date],Sheet1!$A176,Table1[Sentiment V1],Sheet1!C$1)</f>
      </c>
      <c r="D176" s="14">
        <f>COUNTIFS(Table1[Date],Sheet1!$A176,Table1[Sentiment V1],Sheet1!D$1)</f>
      </c>
      <c r="E176" s="16">
        <f>SUMIFS(Sheet2!B:B,Sheet2!A:A,Sheet1!A176)</f>
      </c>
      <c r="F176" s="14">
        <f>B176-C176</f>
      </c>
      <c r="G176" s="12"/>
      <c r="H176" s="13"/>
    </row>
    <row x14ac:dyDescent="0.25" r="177" customHeight="1" ht="18.75">
      <c r="A177" s="9">
        <v>45635</v>
      </c>
      <c r="B177" s="14">
        <f>COUNTIFS(Table1[Date],Sheet1!$A177,Table1[Sentiment V1],Sheet1!B$1)</f>
      </c>
      <c r="C177" s="14">
        <f>COUNTIFS(Table1[Date],Sheet1!$A177,Table1[Sentiment V1],Sheet1!C$1)</f>
      </c>
      <c r="D177" s="14">
        <f>COUNTIFS(Table1[Date],Sheet1!$A177,Table1[Sentiment V1],Sheet1!D$1)</f>
      </c>
      <c r="E177" s="16">
        <f>SUMIFS(Sheet2!B:B,Sheet2!A:A,Sheet1!A177)</f>
      </c>
      <c r="F177" s="14">
        <f>B177-C177</f>
      </c>
      <c r="G177" s="12"/>
      <c r="H177" s="13"/>
    </row>
    <row x14ac:dyDescent="0.25" r="178" customHeight="1" ht="18.75" hidden="1">
      <c r="A178" s="9">
        <v>45634</v>
      </c>
      <c r="B178" s="14">
        <f>COUNTIFS(Table1[Date],Sheet1!$A178,Table1[Sentiment V1],Sheet1!B$1)</f>
      </c>
      <c r="C178" s="14">
        <f>COUNTIFS(Table1[Date],Sheet1!$A178,Table1[Sentiment V1],Sheet1!C$1)</f>
      </c>
      <c r="D178" s="14">
        <f>COUNTIFS(Table1[Date],Sheet1!$A178,Table1[Sentiment V1],Sheet1!D$1)</f>
      </c>
      <c r="E178" s="15">
        <f>SUMIFS(Sheet2!B:B,Sheet2!A:A,Sheet1!A178)</f>
      </c>
      <c r="F178" s="14">
        <f>B178-C178</f>
      </c>
      <c r="G178" s="12"/>
      <c r="H178" s="13"/>
    </row>
    <row x14ac:dyDescent="0.25" r="179" customHeight="1" ht="18.75">
      <c r="A179" s="9">
        <v>45632</v>
      </c>
      <c r="B179" s="14">
        <f>COUNTIFS(Table1[Date],Sheet1!$A179,Table1[Sentiment V1],Sheet1!B$1)</f>
      </c>
      <c r="C179" s="14">
        <f>COUNTIFS(Table1[Date],Sheet1!$A179,Table1[Sentiment V1],Sheet1!C$1)</f>
      </c>
      <c r="D179" s="14">
        <f>COUNTIFS(Table1[Date],Sheet1!$A179,Table1[Sentiment V1],Sheet1!D$1)</f>
      </c>
      <c r="E179" s="16">
        <f>SUMIFS(Sheet2!B:B,Sheet2!A:A,Sheet1!A179)</f>
      </c>
      <c r="F179" s="14">
        <f>B179-C179</f>
      </c>
      <c r="G179" s="12"/>
      <c r="H179" s="13"/>
    </row>
    <row x14ac:dyDescent="0.25" r="180" customHeight="1" ht="18.75">
      <c r="A180" s="9">
        <v>45631</v>
      </c>
      <c r="B180" s="14">
        <f>COUNTIFS(Table1[Date],Sheet1!$A180,Table1[Sentiment V1],Sheet1!B$1)</f>
      </c>
      <c r="C180" s="14">
        <f>COUNTIFS(Table1[Date],Sheet1!$A180,Table1[Sentiment V1],Sheet1!C$1)</f>
      </c>
      <c r="D180" s="14">
        <f>COUNTIFS(Table1[Date],Sheet1!$A180,Table1[Sentiment V1],Sheet1!D$1)</f>
      </c>
      <c r="E180" s="16">
        <f>SUMIFS(Sheet2!B:B,Sheet2!A:A,Sheet1!A180)</f>
      </c>
      <c r="F180" s="14">
        <f>B180-C180</f>
      </c>
      <c r="G180" s="12"/>
      <c r="H180" s="13"/>
    </row>
    <row x14ac:dyDescent="0.25" r="181" customHeight="1" ht="18.75">
      <c r="A181" s="9">
        <v>45630</v>
      </c>
      <c r="B181" s="14">
        <f>COUNTIFS(Table1[Date],Sheet1!$A181,Table1[Sentiment V1],Sheet1!B$1)</f>
      </c>
      <c r="C181" s="14">
        <f>COUNTIFS(Table1[Date],Sheet1!$A181,Table1[Sentiment V1],Sheet1!C$1)</f>
      </c>
      <c r="D181" s="14">
        <f>COUNTIFS(Table1[Date],Sheet1!$A181,Table1[Sentiment V1],Sheet1!D$1)</f>
      </c>
      <c r="E181" s="16">
        <f>SUMIFS(Sheet2!B:B,Sheet2!A:A,Sheet1!A181)</f>
      </c>
      <c r="F181" s="14">
        <f>B181-C181</f>
      </c>
      <c r="G181" s="12"/>
      <c r="H181" s="13"/>
    </row>
    <row x14ac:dyDescent="0.25" r="182" customHeight="1" ht="18.75">
      <c r="A182" s="9">
        <v>45629</v>
      </c>
      <c r="B182" s="14">
        <f>COUNTIFS(Table1[Date],Sheet1!$A182,Table1[Sentiment V1],Sheet1!B$1)</f>
      </c>
      <c r="C182" s="14">
        <f>COUNTIFS(Table1[Date],Sheet1!$A182,Table1[Sentiment V1],Sheet1!C$1)</f>
      </c>
      <c r="D182" s="14">
        <f>COUNTIFS(Table1[Date],Sheet1!$A182,Table1[Sentiment V1],Sheet1!D$1)</f>
      </c>
      <c r="E182" s="16">
        <f>SUMIFS(Sheet2!B:B,Sheet2!A:A,Sheet1!A182)</f>
      </c>
      <c r="F182" s="14">
        <f>B182-C182</f>
      </c>
      <c r="G182" s="12"/>
      <c r="H182" s="13"/>
    </row>
    <row x14ac:dyDescent="0.25" r="183" customHeight="1" ht="18.75">
      <c r="A183" s="9">
        <v>45628</v>
      </c>
      <c r="B183" s="14">
        <f>COUNTIFS(Table1[Date],Sheet1!$A183,Table1[Sentiment V1],Sheet1!B$1)</f>
      </c>
      <c r="C183" s="14">
        <f>COUNTIFS(Table1[Date],Sheet1!$A183,Table1[Sentiment V1],Sheet1!C$1)</f>
      </c>
      <c r="D183" s="14">
        <f>COUNTIFS(Table1[Date],Sheet1!$A183,Table1[Sentiment V1],Sheet1!D$1)</f>
      </c>
      <c r="E183" s="16">
        <f>SUMIFS(Sheet2!B:B,Sheet2!A:A,Sheet1!A183)</f>
      </c>
      <c r="F183" s="14">
        <f>B183-C183</f>
      </c>
      <c r="G183" s="12"/>
      <c r="H183" s="13"/>
    </row>
    <row x14ac:dyDescent="0.25" r="184" customHeight="1" ht="18.75" hidden="1">
      <c r="A184" s="9">
        <v>45627</v>
      </c>
      <c r="B184" s="14">
        <f>COUNTIFS(Table1[Date],Sheet1!$A184,Table1[Sentiment V1],Sheet1!B$1)</f>
      </c>
      <c r="C184" s="14">
        <f>COUNTIFS(Table1[Date],Sheet1!$A184,Table1[Sentiment V1],Sheet1!C$1)</f>
      </c>
      <c r="D184" s="14">
        <f>COUNTIFS(Table1[Date],Sheet1!$A184,Table1[Sentiment V1],Sheet1!D$1)</f>
      </c>
      <c r="E184" s="15">
        <f>SUMIFS(Sheet2!B:B,Sheet2!A:A,Sheet1!A184)</f>
      </c>
      <c r="F184" s="14">
        <f>B184-C184</f>
      </c>
      <c r="G184" s="12"/>
      <c r="H184" s="13"/>
    </row>
    <row x14ac:dyDescent="0.25" r="185" customHeight="1" ht="18.75" hidden="1">
      <c r="A185" s="9">
        <v>45626</v>
      </c>
      <c r="B185" s="14">
        <f>COUNTIFS(Table1[Date],Sheet1!$A185,Table1[Sentiment V1],Sheet1!B$1)</f>
      </c>
      <c r="C185" s="14">
        <f>COUNTIFS(Table1[Date],Sheet1!$A185,Table1[Sentiment V1],Sheet1!C$1)</f>
      </c>
      <c r="D185" s="14">
        <f>COUNTIFS(Table1[Date],Sheet1!$A185,Table1[Sentiment V1],Sheet1!D$1)</f>
      </c>
      <c r="E185" s="15">
        <f>SUMIFS(Sheet2!B:B,Sheet2!A:A,Sheet1!A185)</f>
      </c>
      <c r="F185" s="14">
        <f>B185-C185</f>
      </c>
      <c r="G185" s="12"/>
      <c r="H185" s="13"/>
    </row>
    <row x14ac:dyDescent="0.25" r="186" customHeight="1" ht="18.75">
      <c r="A186" s="9">
        <v>45625</v>
      </c>
      <c r="B186" s="14">
        <f>COUNTIFS(Table1[Date],Sheet1!$A186,Table1[Sentiment V1],Sheet1!B$1)</f>
      </c>
      <c r="C186" s="14">
        <f>COUNTIFS(Table1[Date],Sheet1!$A186,Table1[Sentiment V1],Sheet1!C$1)</f>
      </c>
      <c r="D186" s="14">
        <f>COUNTIFS(Table1[Date],Sheet1!$A186,Table1[Sentiment V1],Sheet1!D$1)</f>
      </c>
      <c r="E186" s="16">
        <f>SUMIFS(Sheet2!B:B,Sheet2!A:A,Sheet1!A186)</f>
      </c>
      <c r="F186" s="14">
        <f>B186-C186</f>
      </c>
      <c r="G186" s="12"/>
      <c r="H186" s="13"/>
    </row>
    <row x14ac:dyDescent="0.25" r="187" customHeight="1" ht="18.75">
      <c r="A187" s="9">
        <v>45624</v>
      </c>
      <c r="B187" s="14">
        <f>COUNTIFS(Table1[Date],Sheet1!$A187,Table1[Sentiment V1],Sheet1!B$1)</f>
      </c>
      <c r="C187" s="14">
        <f>COUNTIFS(Table1[Date],Sheet1!$A187,Table1[Sentiment V1],Sheet1!C$1)</f>
      </c>
      <c r="D187" s="14">
        <f>COUNTIFS(Table1[Date],Sheet1!$A187,Table1[Sentiment V1],Sheet1!D$1)</f>
      </c>
      <c r="E187" s="16">
        <f>SUMIFS(Sheet2!B:B,Sheet2!A:A,Sheet1!A187)</f>
      </c>
      <c r="F187" s="14">
        <f>B187-C187</f>
      </c>
      <c r="G187" s="12"/>
      <c r="H187" s="13"/>
    </row>
    <row x14ac:dyDescent="0.25" r="188" customHeight="1" ht="18.75">
      <c r="A188" s="9">
        <v>45623</v>
      </c>
      <c r="B188" s="14">
        <f>COUNTIFS(Table1[Date],Sheet1!$A188,Table1[Sentiment V1],Sheet1!B$1)</f>
      </c>
      <c r="C188" s="14">
        <f>COUNTIFS(Table1[Date],Sheet1!$A188,Table1[Sentiment V1],Sheet1!C$1)</f>
      </c>
      <c r="D188" s="14">
        <f>COUNTIFS(Table1[Date],Sheet1!$A188,Table1[Sentiment V1],Sheet1!D$1)</f>
      </c>
      <c r="E188" s="16">
        <f>SUMIFS(Sheet2!B:B,Sheet2!A:A,Sheet1!A188)</f>
      </c>
      <c r="F188" s="14">
        <f>B188-C188</f>
      </c>
      <c r="G188" s="12"/>
      <c r="H188" s="13"/>
    </row>
    <row x14ac:dyDescent="0.25" r="189" customHeight="1" ht="18.75">
      <c r="A189" s="9">
        <v>45622</v>
      </c>
      <c r="B189" s="14">
        <f>COUNTIFS(Table1[Date],Sheet1!$A189,Table1[Sentiment V1],Sheet1!B$1)</f>
      </c>
      <c r="C189" s="14">
        <f>COUNTIFS(Table1[Date],Sheet1!$A189,Table1[Sentiment V1],Sheet1!C$1)</f>
      </c>
      <c r="D189" s="14">
        <f>COUNTIFS(Table1[Date],Sheet1!$A189,Table1[Sentiment V1],Sheet1!D$1)</f>
      </c>
      <c r="E189" s="16">
        <f>SUMIFS(Sheet2!B:B,Sheet2!A:A,Sheet1!A189)</f>
      </c>
      <c r="F189" s="14">
        <f>B189-C189</f>
      </c>
      <c r="G189" s="12"/>
      <c r="H189" s="13"/>
    </row>
    <row x14ac:dyDescent="0.25" r="190" customHeight="1" ht="18.75">
      <c r="A190" s="9">
        <v>45621</v>
      </c>
      <c r="B190" s="14">
        <f>COUNTIFS(Table1[Date],Sheet1!$A190,Table1[Sentiment V1],Sheet1!B$1)</f>
      </c>
      <c r="C190" s="14">
        <f>COUNTIFS(Table1[Date],Sheet1!$A190,Table1[Sentiment V1],Sheet1!C$1)</f>
      </c>
      <c r="D190" s="14">
        <f>COUNTIFS(Table1[Date],Sheet1!$A190,Table1[Sentiment V1],Sheet1!D$1)</f>
      </c>
      <c r="E190" s="16">
        <f>SUMIFS(Sheet2!B:B,Sheet2!A:A,Sheet1!A190)</f>
      </c>
      <c r="F190" s="14">
        <f>B190-C190</f>
      </c>
      <c r="G190" s="12"/>
      <c r="H190" s="13"/>
    </row>
    <row x14ac:dyDescent="0.25" r="191" customHeight="1" ht="18.75" hidden="1">
      <c r="A191" s="9">
        <v>45620</v>
      </c>
      <c r="B191" s="14">
        <f>COUNTIFS(Table1[Date],Sheet1!$A191,Table1[Sentiment V1],Sheet1!B$1)</f>
      </c>
      <c r="C191" s="14">
        <f>COUNTIFS(Table1[Date],Sheet1!$A191,Table1[Sentiment V1],Sheet1!C$1)</f>
      </c>
      <c r="D191" s="14">
        <f>COUNTIFS(Table1[Date],Sheet1!$A191,Table1[Sentiment V1],Sheet1!D$1)</f>
      </c>
      <c r="E191" s="15">
        <f>SUMIFS(Sheet2!B:B,Sheet2!A:A,Sheet1!A191)</f>
      </c>
      <c r="F191" s="14">
        <f>B191-C191</f>
      </c>
      <c r="G191" s="12"/>
      <c r="H191" s="13"/>
    </row>
    <row x14ac:dyDescent="0.25" r="192" customHeight="1" ht="18.75">
      <c r="A192" s="9">
        <v>45618</v>
      </c>
      <c r="B192" s="14">
        <f>COUNTIFS(Table1[Date],Sheet1!$A192,Table1[Sentiment V1],Sheet1!B$1)</f>
      </c>
      <c r="C192" s="14">
        <f>COUNTIFS(Table1[Date],Sheet1!$A192,Table1[Sentiment V1],Sheet1!C$1)</f>
      </c>
      <c r="D192" s="14">
        <f>COUNTIFS(Table1[Date],Sheet1!$A192,Table1[Sentiment V1],Sheet1!D$1)</f>
      </c>
      <c r="E192" s="16">
        <f>SUMIFS(Sheet2!B:B,Sheet2!A:A,Sheet1!A192)</f>
      </c>
      <c r="F192" s="14">
        <f>B192-C192</f>
      </c>
      <c r="G192" s="12"/>
      <c r="H192" s="13"/>
    </row>
    <row x14ac:dyDescent="0.25" r="193" customHeight="1" ht="18.75">
      <c r="A193" s="9">
        <v>45617</v>
      </c>
      <c r="B193" s="14">
        <f>COUNTIFS(Table1[Date],Sheet1!$A193,Table1[Sentiment V1],Sheet1!B$1)</f>
      </c>
      <c r="C193" s="14">
        <f>COUNTIFS(Table1[Date],Sheet1!$A193,Table1[Sentiment V1],Sheet1!C$1)</f>
      </c>
      <c r="D193" s="14">
        <f>COUNTIFS(Table1[Date],Sheet1!$A193,Table1[Sentiment V1],Sheet1!D$1)</f>
      </c>
      <c r="E193" s="16">
        <f>SUMIFS(Sheet2!B:B,Sheet2!A:A,Sheet1!A193)</f>
      </c>
      <c r="F193" s="14">
        <f>B193-C193</f>
      </c>
      <c r="G193" s="12"/>
      <c r="H193" s="13"/>
    </row>
    <row x14ac:dyDescent="0.25" r="194" customHeight="1" ht="18.75">
      <c r="A194" s="9">
        <v>45616</v>
      </c>
      <c r="B194" s="14">
        <f>COUNTIFS(Table1[Date],Sheet1!$A194,Table1[Sentiment V1],Sheet1!B$1)</f>
      </c>
      <c r="C194" s="14">
        <f>COUNTIFS(Table1[Date],Sheet1!$A194,Table1[Sentiment V1],Sheet1!C$1)</f>
      </c>
      <c r="D194" s="14">
        <f>COUNTIFS(Table1[Date],Sheet1!$A194,Table1[Sentiment V1],Sheet1!D$1)</f>
      </c>
      <c r="E194" s="16">
        <f>SUMIFS(Sheet2!B:B,Sheet2!A:A,Sheet1!A194)</f>
      </c>
      <c r="F194" s="14">
        <f>B194-C194</f>
      </c>
      <c r="G194" s="12"/>
      <c r="H194" s="13"/>
    </row>
    <row x14ac:dyDescent="0.25" r="195" customHeight="1" ht="18.75">
      <c r="A195" s="9">
        <v>45615</v>
      </c>
      <c r="B195" s="14">
        <f>COUNTIFS(Table1[Date],Sheet1!$A195,Table1[Sentiment V1],Sheet1!B$1)</f>
      </c>
      <c r="C195" s="14">
        <f>COUNTIFS(Table1[Date],Sheet1!$A195,Table1[Sentiment V1],Sheet1!C$1)</f>
      </c>
      <c r="D195" s="14">
        <f>COUNTIFS(Table1[Date],Sheet1!$A195,Table1[Sentiment V1],Sheet1!D$1)</f>
      </c>
      <c r="E195" s="16">
        <f>SUMIFS(Sheet2!B:B,Sheet2!A:A,Sheet1!A195)</f>
      </c>
      <c r="F195" s="14">
        <f>B195-C195</f>
      </c>
      <c r="G195" s="12"/>
      <c r="H195" s="13"/>
    </row>
    <row x14ac:dyDescent="0.25" r="196" customHeight="1" ht="18.75" hidden="1">
      <c r="A196" s="9">
        <v>45612</v>
      </c>
      <c r="B196" s="14">
        <f>COUNTIFS(Table1[Date],Sheet1!$A196,Table1[Sentiment V1],Sheet1!B$1)</f>
      </c>
      <c r="C196" s="14">
        <f>COUNTIFS(Table1[Date],Sheet1!$A196,Table1[Sentiment V1],Sheet1!C$1)</f>
      </c>
      <c r="D196" s="14">
        <f>COUNTIFS(Table1[Date],Sheet1!$A196,Table1[Sentiment V1],Sheet1!D$1)</f>
      </c>
      <c r="E196" s="15">
        <f>SUMIFS(Sheet2!B:B,Sheet2!A:A,Sheet1!A196)</f>
      </c>
      <c r="F196" s="14">
        <f>B196-C196</f>
      </c>
      <c r="G196" s="12"/>
      <c r="H196" s="13"/>
    </row>
    <row x14ac:dyDescent="0.25" r="197" customHeight="1" ht="18.75">
      <c r="A197" s="9">
        <v>45611</v>
      </c>
      <c r="B197" s="14">
        <f>COUNTIFS(Table1[Date],Sheet1!$A197,Table1[Sentiment V1],Sheet1!B$1)</f>
      </c>
      <c r="C197" s="14">
        <f>COUNTIFS(Table1[Date],Sheet1!$A197,Table1[Sentiment V1],Sheet1!C$1)</f>
      </c>
      <c r="D197" s="14">
        <f>COUNTIFS(Table1[Date],Sheet1!$A197,Table1[Sentiment V1],Sheet1!D$1)</f>
      </c>
      <c r="E197" s="16">
        <f>SUMIFS(Sheet2!B:B,Sheet2!A:A,Sheet1!A197)</f>
      </c>
      <c r="F197" s="14">
        <f>B197-C197</f>
      </c>
      <c r="G197" s="12"/>
      <c r="H197" s="13"/>
    </row>
    <row x14ac:dyDescent="0.25" r="198" customHeight="1" ht="18.75">
      <c r="A198" s="9">
        <v>45610</v>
      </c>
      <c r="B198" s="14">
        <f>COUNTIFS(Table1[Date],Sheet1!$A198,Table1[Sentiment V1],Sheet1!B$1)</f>
      </c>
      <c r="C198" s="14">
        <f>COUNTIFS(Table1[Date],Sheet1!$A198,Table1[Sentiment V1],Sheet1!C$1)</f>
      </c>
      <c r="D198" s="14">
        <f>COUNTIFS(Table1[Date],Sheet1!$A198,Table1[Sentiment V1],Sheet1!D$1)</f>
      </c>
      <c r="E198" s="16">
        <f>SUMIFS(Sheet2!B:B,Sheet2!A:A,Sheet1!A198)</f>
      </c>
      <c r="F198" s="14">
        <f>B198-C198</f>
      </c>
      <c r="G198" s="12"/>
      <c r="H198" s="13"/>
    </row>
    <row x14ac:dyDescent="0.25" r="199" customHeight="1" ht="18.75">
      <c r="A199" s="9">
        <v>45609</v>
      </c>
      <c r="B199" s="14">
        <f>COUNTIFS(Table1[Date],Sheet1!$A199,Table1[Sentiment V1],Sheet1!B$1)</f>
      </c>
      <c r="C199" s="14">
        <f>COUNTIFS(Table1[Date],Sheet1!$A199,Table1[Sentiment V1],Sheet1!C$1)</f>
      </c>
      <c r="D199" s="14">
        <f>COUNTIFS(Table1[Date],Sheet1!$A199,Table1[Sentiment V1],Sheet1!D$1)</f>
      </c>
      <c r="E199" s="16">
        <f>SUMIFS(Sheet2!B:B,Sheet2!A:A,Sheet1!A199)</f>
      </c>
      <c r="F199" s="14">
        <f>B199-C199</f>
      </c>
      <c r="G199" s="12"/>
      <c r="H199" s="13"/>
    </row>
    <row x14ac:dyDescent="0.25" r="200" customHeight="1" ht="18.75">
      <c r="A200" s="9">
        <v>45608</v>
      </c>
      <c r="B200" s="14">
        <f>COUNTIFS(Table1[Date],Sheet1!$A200,Table1[Sentiment V1],Sheet1!B$1)</f>
      </c>
      <c r="C200" s="14">
        <f>COUNTIFS(Table1[Date],Sheet1!$A200,Table1[Sentiment V1],Sheet1!C$1)</f>
      </c>
      <c r="D200" s="14">
        <f>COUNTIFS(Table1[Date],Sheet1!$A200,Table1[Sentiment V1],Sheet1!D$1)</f>
      </c>
      <c r="E200" s="16">
        <f>SUMIFS(Sheet2!B:B,Sheet2!A:A,Sheet1!A200)</f>
      </c>
      <c r="F200" s="14">
        <f>B200-C200</f>
      </c>
      <c r="G200" s="12"/>
      <c r="H200" s="13"/>
    </row>
    <row x14ac:dyDescent="0.25" r="201" customHeight="1" ht="18.75">
      <c r="A201" s="9">
        <v>45607</v>
      </c>
      <c r="B201" s="14">
        <f>COUNTIFS(Table1[Date],Sheet1!$A201,Table1[Sentiment V1],Sheet1!B$1)</f>
      </c>
      <c r="C201" s="14">
        <f>COUNTIFS(Table1[Date],Sheet1!$A201,Table1[Sentiment V1],Sheet1!C$1)</f>
      </c>
      <c r="D201" s="14">
        <f>COUNTIFS(Table1[Date],Sheet1!$A201,Table1[Sentiment V1],Sheet1!D$1)</f>
      </c>
      <c r="E201" s="16">
        <f>SUMIFS(Sheet2!B:B,Sheet2!A:A,Sheet1!A201)</f>
      </c>
      <c r="F201" s="14">
        <f>B201-C201</f>
      </c>
      <c r="G201" s="12"/>
      <c r="H201" s="13"/>
    </row>
    <row x14ac:dyDescent="0.25" r="202" customHeight="1" ht="18.75">
      <c r="A202" s="9">
        <v>45603</v>
      </c>
      <c r="B202" s="14">
        <f>COUNTIFS(Table1[Date],Sheet1!$A202,Table1[Sentiment V1],Sheet1!B$1)</f>
      </c>
      <c r="C202" s="14">
        <f>COUNTIFS(Table1[Date],Sheet1!$A202,Table1[Sentiment V1],Sheet1!C$1)</f>
      </c>
      <c r="D202" s="14">
        <f>COUNTIFS(Table1[Date],Sheet1!$A202,Table1[Sentiment V1],Sheet1!D$1)</f>
      </c>
      <c r="E202" s="16">
        <f>SUMIFS(Sheet2!B:B,Sheet2!A:A,Sheet1!A202)</f>
      </c>
      <c r="F202" s="14">
        <f>B202-C202</f>
      </c>
      <c r="G202" s="12"/>
      <c r="H202" s="13"/>
    </row>
    <row x14ac:dyDescent="0.25" r="203" customHeight="1" ht="18.75">
      <c r="A203" s="9">
        <v>45602</v>
      </c>
      <c r="B203" s="14">
        <f>COUNTIFS(Table1[Date],Sheet1!$A203,Table1[Sentiment V1],Sheet1!B$1)</f>
      </c>
      <c r="C203" s="14">
        <f>COUNTIFS(Table1[Date],Sheet1!$A203,Table1[Sentiment V1],Sheet1!C$1)</f>
      </c>
      <c r="D203" s="14">
        <f>COUNTIFS(Table1[Date],Sheet1!$A203,Table1[Sentiment V1],Sheet1!D$1)</f>
      </c>
      <c r="E203" s="16">
        <f>SUMIFS(Sheet2!B:B,Sheet2!A:A,Sheet1!A203)</f>
      </c>
      <c r="F203" s="14">
        <f>B203-C203</f>
      </c>
      <c r="G203" s="12"/>
      <c r="H203" s="13"/>
    </row>
    <row x14ac:dyDescent="0.25" r="204" customHeight="1" ht="18.75">
      <c r="A204" s="9">
        <v>45601</v>
      </c>
      <c r="B204" s="14">
        <f>COUNTIFS(Table1[Date],Sheet1!$A204,Table1[Sentiment V1],Sheet1!B$1)</f>
      </c>
      <c r="C204" s="14">
        <f>COUNTIFS(Table1[Date],Sheet1!$A204,Table1[Sentiment V1],Sheet1!C$1)</f>
      </c>
      <c r="D204" s="14">
        <f>COUNTIFS(Table1[Date],Sheet1!$A204,Table1[Sentiment V1],Sheet1!D$1)</f>
      </c>
      <c r="E204" s="16">
        <f>SUMIFS(Sheet2!B:B,Sheet2!A:A,Sheet1!A204)</f>
      </c>
      <c r="F204" s="14">
        <f>B204-C204</f>
      </c>
      <c r="G204" s="12"/>
      <c r="H204" s="13"/>
    </row>
    <row x14ac:dyDescent="0.25" r="205" customHeight="1" ht="18.75">
      <c r="A205" s="9">
        <v>45600</v>
      </c>
      <c r="B205" s="14">
        <f>COUNTIFS(Table1[Date],Sheet1!$A205,Table1[Sentiment V1],Sheet1!B$1)</f>
      </c>
      <c r="C205" s="14">
        <f>COUNTIFS(Table1[Date],Sheet1!$A205,Table1[Sentiment V1],Sheet1!C$1)</f>
      </c>
      <c r="D205" s="14">
        <f>COUNTIFS(Table1[Date],Sheet1!$A205,Table1[Sentiment V1],Sheet1!D$1)</f>
      </c>
      <c r="E205" s="16">
        <f>SUMIFS(Sheet2!B:B,Sheet2!A:A,Sheet1!A205)</f>
      </c>
      <c r="F205" s="14">
        <f>B205-C205</f>
      </c>
      <c r="G205" s="12"/>
      <c r="H205" s="13"/>
    </row>
    <row x14ac:dyDescent="0.25" r="206" customHeight="1" ht="18.75">
      <c r="A206" s="9">
        <v>45597</v>
      </c>
      <c r="B206" s="14">
        <f>COUNTIFS(Table1[Date],Sheet1!$A206,Table1[Sentiment V1],Sheet1!B$1)</f>
      </c>
      <c r="C206" s="14">
        <f>COUNTIFS(Table1[Date],Sheet1!$A206,Table1[Sentiment V1],Sheet1!C$1)</f>
      </c>
      <c r="D206" s="14">
        <f>COUNTIFS(Table1[Date],Sheet1!$A206,Table1[Sentiment V1],Sheet1!D$1)</f>
      </c>
      <c r="E206" s="16">
        <f>SUMIFS(Sheet2!B:B,Sheet2!A:A,Sheet1!A206)</f>
      </c>
      <c r="F206" s="14">
        <f>B206-C206</f>
      </c>
      <c r="G206" s="12"/>
      <c r="H206" s="13"/>
    </row>
    <row x14ac:dyDescent="0.25" r="207" customHeight="1" ht="18.75">
      <c r="A207" s="9">
        <v>45596</v>
      </c>
      <c r="B207" s="14">
        <f>COUNTIFS(Table1[Date],Sheet1!$A207,Table1[Sentiment V1],Sheet1!B$1)</f>
      </c>
      <c r="C207" s="14">
        <f>COUNTIFS(Table1[Date],Sheet1!$A207,Table1[Sentiment V1],Sheet1!C$1)</f>
      </c>
      <c r="D207" s="14">
        <f>COUNTIFS(Table1[Date],Sheet1!$A207,Table1[Sentiment V1],Sheet1!D$1)</f>
      </c>
      <c r="E207" s="16">
        <f>SUMIFS(Sheet2!B:B,Sheet2!A:A,Sheet1!A207)</f>
      </c>
      <c r="F207" s="14">
        <f>B207-C207</f>
      </c>
      <c r="G207" s="12"/>
      <c r="H207" s="13"/>
    </row>
    <row x14ac:dyDescent="0.25" r="208" customHeight="1" ht="18.75">
      <c r="A208" s="9">
        <v>45595</v>
      </c>
      <c r="B208" s="14">
        <f>COUNTIFS(Table1[Date],Sheet1!$A208,Table1[Sentiment V1],Sheet1!B$1)</f>
      </c>
      <c r="C208" s="14">
        <f>COUNTIFS(Table1[Date],Sheet1!$A208,Table1[Sentiment V1],Sheet1!C$1)</f>
      </c>
      <c r="D208" s="14">
        <f>COUNTIFS(Table1[Date],Sheet1!$A208,Table1[Sentiment V1],Sheet1!D$1)</f>
      </c>
      <c r="E208" s="16">
        <f>SUMIFS(Sheet2!B:B,Sheet2!A:A,Sheet1!A208)</f>
      </c>
      <c r="F208" s="14">
        <f>B208-C208</f>
      </c>
      <c r="G208" s="12"/>
      <c r="H208" s="13"/>
    </row>
    <row x14ac:dyDescent="0.25" r="209" customHeight="1" ht="18.75">
      <c r="A209" s="9">
        <v>45594</v>
      </c>
      <c r="B209" s="14">
        <f>COUNTIFS(Table1[Date],Sheet1!$A209,Table1[Sentiment V1],Sheet1!B$1)</f>
      </c>
      <c r="C209" s="14">
        <f>COUNTIFS(Table1[Date],Sheet1!$A209,Table1[Sentiment V1],Sheet1!C$1)</f>
      </c>
      <c r="D209" s="14">
        <f>COUNTIFS(Table1[Date],Sheet1!$A209,Table1[Sentiment V1],Sheet1!D$1)</f>
      </c>
      <c r="E209" s="16">
        <f>SUMIFS(Sheet2!B:B,Sheet2!A:A,Sheet1!A209)</f>
      </c>
      <c r="F209" s="14">
        <f>B209-C209</f>
      </c>
      <c r="G209" s="12"/>
      <c r="H209" s="13"/>
    </row>
    <row x14ac:dyDescent="0.25" r="210" customHeight="1" ht="18.75">
      <c r="A210" s="9">
        <v>45593</v>
      </c>
      <c r="B210" s="14">
        <f>COUNTIFS(Table1[Date],Sheet1!$A210,Table1[Sentiment V1],Sheet1!B$1)</f>
      </c>
      <c r="C210" s="14">
        <f>COUNTIFS(Table1[Date],Sheet1!$A210,Table1[Sentiment V1],Sheet1!C$1)</f>
      </c>
      <c r="D210" s="14">
        <f>COUNTIFS(Table1[Date],Sheet1!$A210,Table1[Sentiment V1],Sheet1!D$1)</f>
      </c>
      <c r="E210" s="16">
        <f>SUMIFS(Sheet2!B:B,Sheet2!A:A,Sheet1!A210)</f>
      </c>
      <c r="F210" s="14">
        <f>B210-C210</f>
      </c>
      <c r="G210" s="12"/>
      <c r="H210" s="13"/>
    </row>
    <row x14ac:dyDescent="0.25" r="211" customHeight="1" ht="18.75" hidden="1">
      <c r="A211" s="9">
        <v>45591</v>
      </c>
      <c r="B211" s="14">
        <f>COUNTIFS(Table1[Date],Sheet1!$A211,Table1[Sentiment V1],Sheet1!B$1)</f>
      </c>
      <c r="C211" s="14">
        <f>COUNTIFS(Table1[Date],Sheet1!$A211,Table1[Sentiment V1],Sheet1!C$1)</f>
      </c>
      <c r="D211" s="14">
        <f>COUNTIFS(Table1[Date],Sheet1!$A211,Table1[Sentiment V1],Sheet1!D$1)</f>
      </c>
      <c r="E211" s="15">
        <f>SUMIFS(Sheet2!B:B,Sheet2!A:A,Sheet1!A211)</f>
      </c>
      <c r="F211" s="14">
        <f>B211-C211</f>
      </c>
      <c r="G211" s="12"/>
      <c r="H211" s="13"/>
    </row>
    <row x14ac:dyDescent="0.25" r="212" customHeight="1" ht="18.75">
      <c r="A212" s="9">
        <v>45590</v>
      </c>
      <c r="B212" s="14">
        <f>COUNTIFS(Table1[Date],Sheet1!$A212,Table1[Sentiment V1],Sheet1!B$1)</f>
      </c>
      <c r="C212" s="14">
        <f>COUNTIFS(Table1[Date],Sheet1!$A212,Table1[Sentiment V1],Sheet1!C$1)</f>
      </c>
      <c r="D212" s="14">
        <f>COUNTIFS(Table1[Date],Sheet1!$A212,Table1[Sentiment V1],Sheet1!D$1)</f>
      </c>
      <c r="E212" s="16">
        <f>SUMIFS(Sheet2!B:B,Sheet2!A:A,Sheet1!A212)</f>
      </c>
      <c r="F212" s="14">
        <f>B212-C212</f>
      </c>
      <c r="G212" s="12"/>
      <c r="H212" s="13"/>
    </row>
    <row x14ac:dyDescent="0.25" r="213" customHeight="1" ht="18.75">
      <c r="A213" s="9">
        <v>45589</v>
      </c>
      <c r="B213" s="14">
        <f>COUNTIFS(Table1[Date],Sheet1!$A213,Table1[Sentiment V1],Sheet1!B$1)</f>
      </c>
      <c r="C213" s="14">
        <f>COUNTIFS(Table1[Date],Sheet1!$A213,Table1[Sentiment V1],Sheet1!C$1)</f>
      </c>
      <c r="D213" s="14">
        <f>COUNTIFS(Table1[Date],Sheet1!$A213,Table1[Sentiment V1],Sheet1!D$1)</f>
      </c>
      <c r="E213" s="16">
        <f>SUMIFS(Sheet2!B:B,Sheet2!A:A,Sheet1!A213)</f>
      </c>
      <c r="F213" s="14">
        <f>B213-C213</f>
      </c>
      <c r="G213" s="12"/>
      <c r="H213" s="13"/>
    </row>
    <row x14ac:dyDescent="0.25" r="214" customHeight="1" ht="18.75">
      <c r="A214" s="9">
        <v>45588</v>
      </c>
      <c r="B214" s="14">
        <f>COUNTIFS(Table1[Date],Sheet1!$A214,Table1[Sentiment V1],Sheet1!B$1)</f>
      </c>
      <c r="C214" s="14">
        <f>COUNTIFS(Table1[Date],Sheet1!$A214,Table1[Sentiment V1],Sheet1!C$1)</f>
      </c>
      <c r="D214" s="14">
        <f>COUNTIFS(Table1[Date],Sheet1!$A214,Table1[Sentiment V1],Sheet1!D$1)</f>
      </c>
      <c r="E214" s="16">
        <f>SUMIFS(Sheet2!B:B,Sheet2!A:A,Sheet1!A214)</f>
      </c>
      <c r="F214" s="14">
        <f>B214-C214</f>
      </c>
      <c r="G214" s="12"/>
      <c r="H214" s="13"/>
    </row>
    <row x14ac:dyDescent="0.25" r="215" customHeight="1" ht="18.75">
      <c r="A215" s="9">
        <v>45587</v>
      </c>
      <c r="B215" s="14">
        <f>COUNTIFS(Table1[Date],Sheet1!$A215,Table1[Sentiment V1],Sheet1!B$1)</f>
      </c>
      <c r="C215" s="14">
        <f>COUNTIFS(Table1[Date],Sheet1!$A215,Table1[Sentiment V1],Sheet1!C$1)</f>
      </c>
      <c r="D215" s="14">
        <f>COUNTIFS(Table1[Date],Sheet1!$A215,Table1[Sentiment V1],Sheet1!D$1)</f>
      </c>
      <c r="E215" s="16">
        <f>SUMIFS(Sheet2!B:B,Sheet2!A:A,Sheet1!A215)</f>
      </c>
      <c r="F215" s="14">
        <f>B215-C215</f>
      </c>
      <c r="G215" s="12"/>
      <c r="H215" s="13"/>
    </row>
    <row x14ac:dyDescent="0.25" r="216" customHeight="1" ht="18.75">
      <c r="A216" s="9">
        <v>45586</v>
      </c>
      <c r="B216" s="14">
        <f>COUNTIFS(Table1[Date],Sheet1!$A216,Table1[Sentiment V1],Sheet1!B$1)</f>
      </c>
      <c r="C216" s="14">
        <f>COUNTIFS(Table1[Date],Sheet1!$A216,Table1[Sentiment V1],Sheet1!C$1)</f>
      </c>
      <c r="D216" s="14">
        <f>COUNTIFS(Table1[Date],Sheet1!$A216,Table1[Sentiment V1],Sheet1!D$1)</f>
      </c>
      <c r="E216" s="16">
        <f>SUMIFS(Sheet2!B:B,Sheet2!A:A,Sheet1!A216)</f>
      </c>
      <c r="F216" s="14">
        <f>B216-C216</f>
      </c>
      <c r="G216" s="12"/>
      <c r="H216" s="13"/>
    </row>
    <row x14ac:dyDescent="0.25" r="217" customHeight="1" ht="18.75">
      <c r="A217" s="9">
        <v>45583</v>
      </c>
      <c r="B217" s="14">
        <f>COUNTIFS(Table1[Date],Sheet1!$A217,Table1[Sentiment V1],Sheet1!B$1)</f>
      </c>
      <c r="C217" s="14">
        <f>COUNTIFS(Table1[Date],Sheet1!$A217,Table1[Sentiment V1],Sheet1!C$1)</f>
      </c>
      <c r="D217" s="14">
        <f>COUNTIFS(Table1[Date],Sheet1!$A217,Table1[Sentiment V1],Sheet1!D$1)</f>
      </c>
      <c r="E217" s="16">
        <f>SUMIFS(Sheet2!B:B,Sheet2!A:A,Sheet1!A217)</f>
      </c>
      <c r="F217" s="14">
        <f>B217-C217</f>
      </c>
      <c r="G217" s="12"/>
      <c r="H217" s="13"/>
    </row>
    <row x14ac:dyDescent="0.25" r="218" customHeight="1" ht="18.75">
      <c r="A218" s="9">
        <v>45582</v>
      </c>
      <c r="B218" s="14">
        <f>COUNTIFS(Table1[Date],Sheet1!$A218,Table1[Sentiment V1],Sheet1!B$1)</f>
      </c>
      <c r="C218" s="14">
        <f>COUNTIFS(Table1[Date],Sheet1!$A218,Table1[Sentiment V1],Sheet1!C$1)</f>
      </c>
      <c r="D218" s="14">
        <f>COUNTIFS(Table1[Date],Sheet1!$A218,Table1[Sentiment V1],Sheet1!D$1)</f>
      </c>
      <c r="E218" s="16">
        <f>SUMIFS(Sheet2!B:B,Sheet2!A:A,Sheet1!A218)</f>
      </c>
      <c r="F218" s="14">
        <f>B218-C218</f>
      </c>
      <c r="G218" s="12"/>
      <c r="H218" s="13"/>
    </row>
    <row x14ac:dyDescent="0.25" r="219" customHeight="1" ht="18.75">
      <c r="A219" s="9">
        <v>45581</v>
      </c>
      <c r="B219" s="14">
        <f>COUNTIFS(Table1[Date],Sheet1!$A219,Table1[Sentiment V1],Sheet1!B$1)</f>
      </c>
      <c r="C219" s="14">
        <f>COUNTIFS(Table1[Date],Sheet1!$A219,Table1[Sentiment V1],Sheet1!C$1)</f>
      </c>
      <c r="D219" s="14">
        <f>COUNTIFS(Table1[Date],Sheet1!$A219,Table1[Sentiment V1],Sheet1!D$1)</f>
      </c>
      <c r="E219" s="16">
        <f>SUMIFS(Sheet2!B:B,Sheet2!A:A,Sheet1!A219)</f>
      </c>
      <c r="F219" s="14">
        <f>B219-C219</f>
      </c>
      <c r="G219" s="12"/>
      <c r="H219" s="13"/>
    </row>
    <row x14ac:dyDescent="0.25" r="220" customHeight="1" ht="18.75">
      <c r="A220" s="9">
        <v>45580</v>
      </c>
      <c r="B220" s="14">
        <f>COUNTIFS(Table1[Date],Sheet1!$A220,Table1[Sentiment V1],Sheet1!B$1)</f>
      </c>
      <c r="C220" s="14">
        <f>COUNTIFS(Table1[Date],Sheet1!$A220,Table1[Sentiment V1],Sheet1!C$1)</f>
      </c>
      <c r="D220" s="14">
        <f>COUNTIFS(Table1[Date],Sheet1!$A220,Table1[Sentiment V1],Sheet1!D$1)</f>
      </c>
      <c r="E220" s="16">
        <f>SUMIFS(Sheet2!B:B,Sheet2!A:A,Sheet1!A220)</f>
      </c>
      <c r="F220" s="14">
        <f>B220-C220</f>
      </c>
      <c r="G220" s="12"/>
      <c r="H220" s="13"/>
    </row>
    <row x14ac:dyDescent="0.25" r="221" customHeight="1" ht="18.75">
      <c r="A221" s="9">
        <v>45579</v>
      </c>
      <c r="B221" s="14">
        <f>COUNTIFS(Table1[Date],Sheet1!$A221,Table1[Sentiment V1],Sheet1!B$1)</f>
      </c>
      <c r="C221" s="14">
        <f>COUNTIFS(Table1[Date],Sheet1!$A221,Table1[Sentiment V1],Sheet1!C$1)</f>
      </c>
      <c r="D221" s="14">
        <f>COUNTIFS(Table1[Date],Sheet1!$A221,Table1[Sentiment V1],Sheet1!D$1)</f>
      </c>
      <c r="E221" s="16">
        <f>SUMIFS(Sheet2!B:B,Sheet2!A:A,Sheet1!A221)</f>
      </c>
      <c r="F221" s="14">
        <f>B221-C221</f>
      </c>
      <c r="G221" s="12"/>
      <c r="H221" s="13"/>
    </row>
    <row x14ac:dyDescent="0.25" r="222" customHeight="1" ht="18.75" hidden="1">
      <c r="A222" s="9">
        <v>45578</v>
      </c>
      <c r="B222" s="14">
        <f>COUNTIFS(Table1[Date],Sheet1!$A222,Table1[Sentiment V1],Sheet1!B$1)</f>
      </c>
      <c r="C222" s="14">
        <f>COUNTIFS(Table1[Date],Sheet1!$A222,Table1[Sentiment V1],Sheet1!C$1)</f>
      </c>
      <c r="D222" s="14">
        <f>COUNTIFS(Table1[Date],Sheet1!$A222,Table1[Sentiment V1],Sheet1!D$1)</f>
      </c>
      <c r="E222" s="15">
        <f>SUMIFS(Sheet2!B:B,Sheet2!A:A,Sheet1!A222)</f>
      </c>
      <c r="F222" s="14">
        <f>B222-C222</f>
      </c>
      <c r="G222" s="12"/>
      <c r="H222" s="13"/>
    </row>
    <row x14ac:dyDescent="0.25" r="223" customHeight="1" ht="18.75">
      <c r="A223" s="9">
        <v>45576</v>
      </c>
      <c r="B223" s="14">
        <f>COUNTIFS(Table1[Date],Sheet1!$A223,Table1[Sentiment V1],Sheet1!B$1)</f>
      </c>
      <c r="C223" s="14">
        <f>COUNTIFS(Table1[Date],Sheet1!$A223,Table1[Sentiment V1],Sheet1!C$1)</f>
      </c>
      <c r="D223" s="14">
        <f>COUNTIFS(Table1[Date],Sheet1!$A223,Table1[Sentiment V1],Sheet1!D$1)</f>
      </c>
      <c r="E223" s="16">
        <f>SUMIFS(Sheet2!B:B,Sheet2!A:A,Sheet1!A223)</f>
      </c>
      <c r="F223" s="14">
        <f>B223-C223</f>
      </c>
      <c r="G223" s="12"/>
      <c r="H223" s="13"/>
    </row>
    <row x14ac:dyDescent="0.25" r="224" customHeight="1" ht="18.75">
      <c r="A224" s="9">
        <v>45575</v>
      </c>
      <c r="B224" s="14">
        <f>COUNTIFS(Table1[Date],Sheet1!$A224,Table1[Sentiment V1],Sheet1!B$1)</f>
      </c>
      <c r="C224" s="14">
        <f>COUNTIFS(Table1[Date],Sheet1!$A224,Table1[Sentiment V1],Sheet1!C$1)</f>
      </c>
      <c r="D224" s="14">
        <f>COUNTIFS(Table1[Date],Sheet1!$A224,Table1[Sentiment V1],Sheet1!D$1)</f>
      </c>
      <c r="E224" s="16">
        <f>SUMIFS(Sheet2!B:B,Sheet2!A:A,Sheet1!A224)</f>
      </c>
      <c r="F224" s="14">
        <f>B224-C224</f>
      </c>
      <c r="G224" s="12"/>
      <c r="H224" s="13"/>
    </row>
    <row x14ac:dyDescent="0.25" r="225" customHeight="1" ht="18.75">
      <c r="A225" s="9">
        <v>45574</v>
      </c>
      <c r="B225" s="14">
        <f>COUNTIFS(Table1[Date],Sheet1!$A225,Table1[Sentiment V1],Sheet1!B$1)</f>
      </c>
      <c r="C225" s="14">
        <f>COUNTIFS(Table1[Date],Sheet1!$A225,Table1[Sentiment V1],Sheet1!C$1)</f>
      </c>
      <c r="D225" s="14">
        <f>COUNTIFS(Table1[Date],Sheet1!$A225,Table1[Sentiment V1],Sheet1!D$1)</f>
      </c>
      <c r="E225" s="16">
        <f>SUMIFS(Sheet2!B:B,Sheet2!A:A,Sheet1!A225)</f>
      </c>
      <c r="F225" s="14">
        <f>B225-C225</f>
      </c>
      <c r="G225" s="12"/>
      <c r="H225" s="13"/>
    </row>
    <row x14ac:dyDescent="0.25" r="226" customHeight="1" ht="18.75">
      <c r="A226" s="9">
        <v>45573</v>
      </c>
      <c r="B226" s="14">
        <f>COUNTIFS(Table1[Date],Sheet1!$A226,Table1[Sentiment V1],Sheet1!B$1)</f>
      </c>
      <c r="C226" s="14">
        <f>COUNTIFS(Table1[Date],Sheet1!$A226,Table1[Sentiment V1],Sheet1!C$1)</f>
      </c>
      <c r="D226" s="14">
        <f>COUNTIFS(Table1[Date],Sheet1!$A226,Table1[Sentiment V1],Sheet1!D$1)</f>
      </c>
      <c r="E226" s="16">
        <f>SUMIFS(Sheet2!B:B,Sheet2!A:A,Sheet1!A226)</f>
      </c>
      <c r="F226" s="14">
        <f>B226-C226</f>
      </c>
      <c r="G226" s="12"/>
      <c r="H226" s="13"/>
    </row>
    <row x14ac:dyDescent="0.25" r="227" customHeight="1" ht="18.75">
      <c r="A227" s="9">
        <v>45572</v>
      </c>
      <c r="B227" s="14">
        <f>COUNTIFS(Table1[Date],Sheet1!$A227,Table1[Sentiment V1],Sheet1!B$1)</f>
      </c>
      <c r="C227" s="14">
        <f>COUNTIFS(Table1[Date],Sheet1!$A227,Table1[Sentiment V1],Sheet1!C$1)</f>
      </c>
      <c r="D227" s="14">
        <f>COUNTIFS(Table1[Date],Sheet1!$A227,Table1[Sentiment V1],Sheet1!D$1)</f>
      </c>
      <c r="E227" s="16">
        <f>SUMIFS(Sheet2!B:B,Sheet2!A:A,Sheet1!A227)</f>
      </c>
      <c r="F227" s="14">
        <f>B227-C227</f>
      </c>
      <c r="G227" s="12"/>
      <c r="H227" s="13"/>
    </row>
    <row x14ac:dyDescent="0.25" r="228" customHeight="1" ht="18.75" hidden="1">
      <c r="A228" s="9">
        <v>45571</v>
      </c>
      <c r="B228" s="14">
        <f>COUNTIFS(Table1[Date],Sheet1!$A228,Table1[Sentiment V1],Sheet1!B$1)</f>
      </c>
      <c r="C228" s="14">
        <f>COUNTIFS(Table1[Date],Sheet1!$A228,Table1[Sentiment V1],Sheet1!C$1)</f>
      </c>
      <c r="D228" s="14">
        <f>COUNTIFS(Table1[Date],Sheet1!$A228,Table1[Sentiment V1],Sheet1!D$1)</f>
      </c>
      <c r="E228" s="15">
        <f>SUMIFS(Sheet2!B:B,Sheet2!A:A,Sheet1!A228)</f>
      </c>
      <c r="F228" s="14">
        <f>B228-C228</f>
      </c>
      <c r="G228" s="12"/>
      <c r="H228" s="13"/>
    </row>
    <row x14ac:dyDescent="0.25" r="229" customHeight="1" ht="18.75" hidden="1">
      <c r="A229" s="9">
        <v>45570</v>
      </c>
      <c r="B229" s="14">
        <f>COUNTIFS(Table1[Date],Sheet1!$A229,Table1[Sentiment V1],Sheet1!B$1)</f>
      </c>
      <c r="C229" s="14">
        <f>COUNTIFS(Table1[Date],Sheet1!$A229,Table1[Sentiment V1],Sheet1!C$1)</f>
      </c>
      <c r="D229" s="14">
        <f>COUNTIFS(Table1[Date],Sheet1!$A229,Table1[Sentiment V1],Sheet1!D$1)</f>
      </c>
      <c r="E229" s="15">
        <f>SUMIFS(Sheet2!B:B,Sheet2!A:A,Sheet1!A229)</f>
      </c>
      <c r="F229" s="14">
        <f>B229-C229</f>
      </c>
      <c r="G229" s="12"/>
      <c r="H229" s="13"/>
    </row>
    <row x14ac:dyDescent="0.25" r="230" customHeight="1" ht="18.75">
      <c r="A230" s="9">
        <v>45569</v>
      </c>
      <c r="B230" s="14">
        <f>COUNTIFS(Table1[Date],Sheet1!$A230,Table1[Sentiment V1],Sheet1!B$1)</f>
      </c>
      <c r="C230" s="14">
        <f>COUNTIFS(Table1[Date],Sheet1!$A230,Table1[Sentiment V1],Sheet1!C$1)</f>
      </c>
      <c r="D230" s="14">
        <f>COUNTIFS(Table1[Date],Sheet1!$A230,Table1[Sentiment V1],Sheet1!D$1)</f>
      </c>
      <c r="E230" s="16">
        <f>SUMIFS(Sheet2!B:B,Sheet2!A:A,Sheet1!A230)</f>
      </c>
      <c r="F230" s="14">
        <f>B230-C230</f>
      </c>
      <c r="G230" s="12"/>
      <c r="H230" s="13"/>
    </row>
    <row x14ac:dyDescent="0.25" r="231" customHeight="1" ht="18.75">
      <c r="A231" s="9">
        <v>45568</v>
      </c>
      <c r="B231" s="14">
        <f>COUNTIFS(Table1[Date],Sheet1!$A231,Table1[Sentiment V1],Sheet1!B$1)</f>
      </c>
      <c r="C231" s="14">
        <f>COUNTIFS(Table1[Date],Sheet1!$A231,Table1[Sentiment V1],Sheet1!C$1)</f>
      </c>
      <c r="D231" s="14">
        <f>COUNTIFS(Table1[Date],Sheet1!$A231,Table1[Sentiment V1],Sheet1!D$1)</f>
      </c>
      <c r="E231" s="16">
        <f>SUMIFS(Sheet2!B:B,Sheet2!A:A,Sheet1!A231)</f>
      </c>
      <c r="F231" s="14">
        <f>B231-C231</f>
      </c>
      <c r="G231" s="12"/>
      <c r="H231" s="13"/>
    </row>
    <row x14ac:dyDescent="0.25" r="232" customHeight="1" ht="18.75">
      <c r="A232" s="9">
        <v>45567</v>
      </c>
      <c r="B232" s="14">
        <f>COUNTIFS(Table1[Date],Sheet1!$A232,Table1[Sentiment V1],Sheet1!B$1)</f>
      </c>
      <c r="C232" s="14">
        <f>COUNTIFS(Table1[Date],Sheet1!$A232,Table1[Sentiment V1],Sheet1!C$1)</f>
      </c>
      <c r="D232" s="14">
        <f>COUNTIFS(Table1[Date],Sheet1!$A232,Table1[Sentiment V1],Sheet1!D$1)</f>
      </c>
      <c r="E232" s="16">
        <f>SUMIFS(Sheet2!B:B,Sheet2!A:A,Sheet1!A232)</f>
      </c>
      <c r="F232" s="14">
        <f>B232-C232</f>
      </c>
      <c r="G232" s="12"/>
      <c r="H232" s="13"/>
    </row>
    <row x14ac:dyDescent="0.25" r="233" customHeight="1" ht="18.75">
      <c r="A233" s="9">
        <v>45566</v>
      </c>
      <c r="B233" s="14">
        <f>COUNTIFS(Table1[Date],Sheet1!$A233,Table1[Sentiment V1],Sheet1!B$1)</f>
      </c>
      <c r="C233" s="14">
        <f>COUNTIFS(Table1[Date],Sheet1!$A233,Table1[Sentiment V1],Sheet1!C$1)</f>
      </c>
      <c r="D233" s="14">
        <f>COUNTIFS(Table1[Date],Sheet1!$A233,Table1[Sentiment V1],Sheet1!D$1)</f>
      </c>
      <c r="E233" s="16">
        <f>SUMIFS(Sheet2!B:B,Sheet2!A:A,Sheet1!A233)</f>
      </c>
      <c r="F233" s="14">
        <f>B233-C233</f>
      </c>
      <c r="G233" s="12"/>
      <c r="H233" s="13"/>
    </row>
    <row x14ac:dyDescent="0.25" r="234" customHeight="1" ht="18.75">
      <c r="A234" s="9">
        <v>45565</v>
      </c>
      <c r="B234" s="14">
        <f>COUNTIFS(Table1[Date],Sheet1!$A234,Table1[Sentiment V1],Sheet1!B$1)</f>
      </c>
      <c r="C234" s="14">
        <f>COUNTIFS(Table1[Date],Sheet1!$A234,Table1[Sentiment V1],Sheet1!C$1)</f>
      </c>
      <c r="D234" s="14">
        <f>COUNTIFS(Table1[Date],Sheet1!$A234,Table1[Sentiment V1],Sheet1!D$1)</f>
      </c>
      <c r="E234" s="16">
        <f>SUMIFS(Sheet2!B:B,Sheet2!A:A,Sheet1!A234)</f>
      </c>
      <c r="F234" s="14">
        <f>B234-C234</f>
      </c>
      <c r="G234" s="12"/>
      <c r="H234" s="13"/>
    </row>
    <row x14ac:dyDescent="0.25" r="235" customHeight="1" ht="18.75" hidden="1">
      <c r="A235" s="9">
        <v>45563</v>
      </c>
      <c r="B235" s="14">
        <f>COUNTIFS(Table1[Date],Sheet1!$A235,Table1[Sentiment V1],Sheet1!B$1)</f>
      </c>
      <c r="C235" s="14">
        <f>COUNTIFS(Table1[Date],Sheet1!$A235,Table1[Sentiment V1],Sheet1!C$1)</f>
      </c>
      <c r="D235" s="14">
        <f>COUNTIFS(Table1[Date],Sheet1!$A235,Table1[Sentiment V1],Sheet1!D$1)</f>
      </c>
      <c r="E235" s="15">
        <f>SUMIFS(Sheet2!B:B,Sheet2!A:A,Sheet1!A235)</f>
      </c>
      <c r="F235" s="14">
        <f>B235-C235</f>
      </c>
      <c r="G235" s="12"/>
      <c r="H235" s="13"/>
    </row>
    <row x14ac:dyDescent="0.25" r="236" customHeight="1" ht="18.75">
      <c r="A236" s="9">
        <v>45562</v>
      </c>
      <c r="B236" s="14">
        <f>COUNTIFS(Table1[Date],Sheet1!$A236,Table1[Sentiment V1],Sheet1!B$1)</f>
      </c>
      <c r="C236" s="14">
        <f>COUNTIFS(Table1[Date],Sheet1!$A236,Table1[Sentiment V1],Sheet1!C$1)</f>
      </c>
      <c r="D236" s="14">
        <f>COUNTIFS(Table1[Date],Sheet1!$A236,Table1[Sentiment V1],Sheet1!D$1)</f>
      </c>
      <c r="E236" s="16">
        <f>SUMIFS(Sheet2!B:B,Sheet2!A:A,Sheet1!A236)</f>
      </c>
      <c r="F236" s="14">
        <f>B236-C236</f>
      </c>
      <c r="G236" s="12"/>
      <c r="H236" s="13"/>
    </row>
    <row x14ac:dyDescent="0.25" r="237" customHeight="1" ht="18.75">
      <c r="A237" s="9">
        <v>45561</v>
      </c>
      <c r="B237" s="14">
        <f>COUNTIFS(Table1[Date],Sheet1!$A237,Table1[Sentiment V1],Sheet1!B$1)</f>
      </c>
      <c r="C237" s="14">
        <f>COUNTIFS(Table1[Date],Sheet1!$A237,Table1[Sentiment V1],Sheet1!C$1)</f>
      </c>
      <c r="D237" s="14">
        <f>COUNTIFS(Table1[Date],Sheet1!$A237,Table1[Sentiment V1],Sheet1!D$1)</f>
      </c>
      <c r="E237" s="16">
        <f>SUMIFS(Sheet2!B:B,Sheet2!A:A,Sheet1!A237)</f>
      </c>
      <c r="F237" s="14">
        <f>B237-C237</f>
      </c>
      <c r="G237" s="12"/>
      <c r="H237" s="13"/>
    </row>
    <row x14ac:dyDescent="0.25" r="238" customHeight="1" ht="18.75">
      <c r="A238" s="9">
        <v>45560</v>
      </c>
      <c r="B238" s="14">
        <f>COUNTIFS(Table1[Date],Sheet1!$A238,Table1[Sentiment V1],Sheet1!B$1)</f>
      </c>
      <c r="C238" s="14">
        <f>COUNTIFS(Table1[Date],Sheet1!$A238,Table1[Sentiment V1],Sheet1!C$1)</f>
      </c>
      <c r="D238" s="14">
        <f>COUNTIFS(Table1[Date],Sheet1!$A238,Table1[Sentiment V1],Sheet1!D$1)</f>
      </c>
      <c r="E238" s="16">
        <f>SUMIFS(Sheet2!B:B,Sheet2!A:A,Sheet1!A238)</f>
      </c>
      <c r="F238" s="14">
        <f>B238-C238</f>
      </c>
      <c r="G238" s="12"/>
      <c r="H238" s="13"/>
    </row>
    <row x14ac:dyDescent="0.25" r="239" customHeight="1" ht="18.75">
      <c r="A239" s="9">
        <v>45559</v>
      </c>
      <c r="B239" s="14">
        <f>COUNTIFS(Table1[Date],Sheet1!$A239,Table1[Sentiment V1],Sheet1!B$1)</f>
      </c>
      <c r="C239" s="14">
        <f>COUNTIFS(Table1[Date],Sheet1!$A239,Table1[Sentiment V1],Sheet1!C$1)</f>
      </c>
      <c r="D239" s="14">
        <f>COUNTIFS(Table1[Date],Sheet1!$A239,Table1[Sentiment V1],Sheet1!D$1)</f>
      </c>
      <c r="E239" s="16">
        <f>SUMIFS(Sheet2!B:B,Sheet2!A:A,Sheet1!A239)</f>
      </c>
      <c r="F239" s="14">
        <f>B239-C239</f>
      </c>
      <c r="G239" s="12"/>
      <c r="H239" s="13"/>
    </row>
    <row x14ac:dyDescent="0.25" r="240" customHeight="1" ht="18.75">
      <c r="A240" s="9">
        <v>45558</v>
      </c>
      <c r="B240" s="14">
        <f>COUNTIFS(Table1[Date],Sheet1!$A240,Table1[Sentiment V1],Sheet1!B$1)</f>
      </c>
      <c r="C240" s="14">
        <f>COUNTIFS(Table1[Date],Sheet1!$A240,Table1[Sentiment V1],Sheet1!C$1)</f>
      </c>
      <c r="D240" s="14">
        <f>COUNTIFS(Table1[Date],Sheet1!$A240,Table1[Sentiment V1],Sheet1!D$1)</f>
      </c>
      <c r="E240" s="16">
        <f>SUMIFS(Sheet2!B:B,Sheet2!A:A,Sheet1!A240)</f>
      </c>
      <c r="F240" s="14">
        <f>B240-C240</f>
      </c>
      <c r="G240" s="12"/>
      <c r="H240" s="13"/>
    </row>
    <row x14ac:dyDescent="0.25" r="241" customHeight="1" ht="18.75" hidden="1">
      <c r="A241" s="9">
        <v>45556</v>
      </c>
      <c r="B241" s="14">
        <f>COUNTIFS(Table1[Date],Sheet1!$A241,Table1[Sentiment V1],Sheet1!B$1)</f>
      </c>
      <c r="C241" s="14">
        <f>COUNTIFS(Table1[Date],Sheet1!$A241,Table1[Sentiment V1],Sheet1!C$1)</f>
      </c>
      <c r="D241" s="14">
        <f>COUNTIFS(Table1[Date],Sheet1!$A241,Table1[Sentiment V1],Sheet1!D$1)</f>
      </c>
      <c r="E241" s="15">
        <f>SUMIFS(Sheet2!B:B,Sheet2!A:A,Sheet1!A241)</f>
      </c>
      <c r="F241" s="14">
        <f>B241-C241</f>
      </c>
      <c r="G241" s="12"/>
      <c r="H241" s="13"/>
    </row>
    <row x14ac:dyDescent="0.25" r="242" customHeight="1" ht="18.75">
      <c r="A242" s="9">
        <v>45555</v>
      </c>
      <c r="B242" s="14">
        <f>COUNTIFS(Table1[Date],Sheet1!$A242,Table1[Sentiment V1],Sheet1!B$1)</f>
      </c>
      <c r="C242" s="14">
        <f>COUNTIFS(Table1[Date],Sheet1!$A242,Table1[Sentiment V1],Sheet1!C$1)</f>
      </c>
      <c r="D242" s="14">
        <f>COUNTIFS(Table1[Date],Sheet1!$A242,Table1[Sentiment V1],Sheet1!D$1)</f>
      </c>
      <c r="E242" s="16">
        <f>SUMIFS(Sheet2!B:B,Sheet2!A:A,Sheet1!A242)</f>
      </c>
      <c r="F242" s="14">
        <f>B242-C242</f>
      </c>
      <c r="G242" s="12"/>
      <c r="H242" s="13"/>
    </row>
    <row x14ac:dyDescent="0.25" r="243" customHeight="1" ht="18.75">
      <c r="A243" s="9">
        <v>45554</v>
      </c>
      <c r="B243" s="14">
        <f>COUNTIFS(Table1[Date],Sheet1!$A243,Table1[Sentiment V1],Sheet1!B$1)</f>
      </c>
      <c r="C243" s="14">
        <f>COUNTIFS(Table1[Date],Sheet1!$A243,Table1[Sentiment V1],Sheet1!C$1)</f>
      </c>
      <c r="D243" s="14">
        <f>COUNTIFS(Table1[Date],Sheet1!$A243,Table1[Sentiment V1],Sheet1!D$1)</f>
      </c>
      <c r="E243" s="16">
        <f>SUMIFS(Sheet2!B:B,Sheet2!A:A,Sheet1!A243)</f>
      </c>
      <c r="F243" s="14">
        <f>B243-C243</f>
      </c>
      <c r="G243" s="12"/>
      <c r="H243" s="13"/>
    </row>
    <row x14ac:dyDescent="0.25" r="244" customHeight="1" ht="18.75">
      <c r="A244" s="9">
        <v>45553</v>
      </c>
      <c r="B244" s="14">
        <f>COUNTIFS(Table1[Date],Sheet1!$A244,Table1[Sentiment V1],Sheet1!B$1)</f>
      </c>
      <c r="C244" s="14">
        <f>COUNTIFS(Table1[Date],Sheet1!$A244,Table1[Sentiment V1],Sheet1!C$1)</f>
      </c>
      <c r="D244" s="14">
        <f>COUNTIFS(Table1[Date],Sheet1!$A244,Table1[Sentiment V1],Sheet1!D$1)</f>
      </c>
      <c r="E244" s="16">
        <f>SUMIFS(Sheet2!B:B,Sheet2!A:A,Sheet1!A244)</f>
      </c>
      <c r="F244" s="14">
        <f>B244-C244</f>
      </c>
      <c r="G244" s="12"/>
      <c r="H244" s="13"/>
    </row>
    <row x14ac:dyDescent="0.25" r="245" customHeight="1" ht="18.75">
      <c r="A245" s="9">
        <v>45552</v>
      </c>
      <c r="B245" s="14">
        <f>COUNTIFS(Table1[Date],Sheet1!$A245,Table1[Sentiment V1],Sheet1!B$1)</f>
      </c>
      <c r="C245" s="14">
        <f>COUNTIFS(Table1[Date],Sheet1!$A245,Table1[Sentiment V1],Sheet1!C$1)</f>
      </c>
      <c r="D245" s="14">
        <f>COUNTIFS(Table1[Date],Sheet1!$A245,Table1[Sentiment V1],Sheet1!D$1)</f>
      </c>
      <c r="E245" s="16">
        <f>SUMIFS(Sheet2!B:B,Sheet2!A:A,Sheet1!A245)</f>
      </c>
      <c r="F245" s="14">
        <f>B245-C245</f>
      </c>
      <c r="G245" s="12"/>
      <c r="H245" s="13"/>
    </row>
    <row x14ac:dyDescent="0.25" r="246" customHeight="1" ht="18.75">
      <c r="A246" s="9">
        <v>45551</v>
      </c>
      <c r="B246" s="14">
        <f>COUNTIFS(Table1[Date],Sheet1!$A246,Table1[Sentiment V1],Sheet1!B$1)</f>
      </c>
      <c r="C246" s="14">
        <f>COUNTIFS(Table1[Date],Sheet1!$A246,Table1[Sentiment V1],Sheet1!C$1)</f>
      </c>
      <c r="D246" s="14">
        <f>COUNTIFS(Table1[Date],Sheet1!$A246,Table1[Sentiment V1],Sheet1!D$1)</f>
      </c>
      <c r="E246" s="16">
        <f>SUMIFS(Sheet2!B:B,Sheet2!A:A,Sheet1!A246)</f>
      </c>
      <c r="F246" s="14">
        <f>B246-C246</f>
      </c>
      <c r="G246" s="12"/>
      <c r="H246" s="13"/>
    </row>
    <row x14ac:dyDescent="0.25" r="247" customHeight="1" ht="18.75" hidden="1">
      <c r="A247" s="9">
        <v>45550</v>
      </c>
      <c r="B247" s="14">
        <f>COUNTIFS(Table1[Date],Sheet1!$A247,Table1[Sentiment V1],Sheet1!B$1)</f>
      </c>
      <c r="C247" s="14">
        <f>COUNTIFS(Table1[Date],Sheet1!$A247,Table1[Sentiment V1],Sheet1!C$1)</f>
      </c>
      <c r="D247" s="14">
        <f>COUNTIFS(Table1[Date],Sheet1!$A247,Table1[Sentiment V1],Sheet1!D$1)</f>
      </c>
      <c r="E247" s="15">
        <f>SUMIFS(Sheet2!B:B,Sheet2!A:A,Sheet1!A247)</f>
      </c>
      <c r="F247" s="14">
        <f>B247-C247</f>
      </c>
      <c r="G247" s="12"/>
      <c r="H247" s="13"/>
    </row>
    <row x14ac:dyDescent="0.25" r="248" customHeight="1" ht="18.75" hidden="1">
      <c r="A248" s="9">
        <v>45549</v>
      </c>
      <c r="B248" s="14">
        <f>COUNTIFS(Table1[Date],Sheet1!$A248,Table1[Sentiment V1],Sheet1!B$1)</f>
      </c>
      <c r="C248" s="14">
        <f>COUNTIFS(Table1[Date],Sheet1!$A248,Table1[Sentiment V1],Sheet1!C$1)</f>
      </c>
      <c r="D248" s="14">
        <f>COUNTIFS(Table1[Date],Sheet1!$A248,Table1[Sentiment V1],Sheet1!D$1)</f>
      </c>
      <c r="E248" s="15">
        <f>SUMIFS(Sheet2!B:B,Sheet2!A:A,Sheet1!A248)</f>
      </c>
      <c r="F248" s="14">
        <f>B248-C248</f>
      </c>
      <c r="G248" s="12"/>
      <c r="H248" s="13"/>
    </row>
    <row x14ac:dyDescent="0.25" r="249" customHeight="1" ht="18.75">
      <c r="A249" s="9">
        <v>45548</v>
      </c>
      <c r="B249" s="14">
        <f>COUNTIFS(Table1[Date],Sheet1!$A249,Table1[Sentiment V1],Sheet1!B$1)</f>
      </c>
      <c r="C249" s="14">
        <f>COUNTIFS(Table1[Date],Sheet1!$A249,Table1[Sentiment V1],Sheet1!C$1)</f>
      </c>
      <c r="D249" s="14">
        <f>COUNTIFS(Table1[Date],Sheet1!$A249,Table1[Sentiment V1],Sheet1!D$1)</f>
      </c>
      <c r="E249" s="16">
        <f>SUMIFS(Sheet2!B:B,Sheet2!A:A,Sheet1!A249)</f>
      </c>
      <c r="F249" s="14">
        <f>B249-C249</f>
      </c>
      <c r="G249" s="12"/>
      <c r="H249" s="13"/>
    </row>
    <row x14ac:dyDescent="0.25" r="250" customHeight="1" ht="18.75">
      <c r="A250" s="9">
        <v>45547</v>
      </c>
      <c r="B250" s="14">
        <f>COUNTIFS(Table1[Date],Sheet1!$A250,Table1[Sentiment V1],Sheet1!B$1)</f>
      </c>
      <c r="C250" s="14">
        <f>COUNTIFS(Table1[Date],Sheet1!$A250,Table1[Sentiment V1],Sheet1!C$1)</f>
      </c>
      <c r="D250" s="14">
        <f>COUNTIFS(Table1[Date],Sheet1!$A250,Table1[Sentiment V1],Sheet1!D$1)</f>
      </c>
      <c r="E250" s="16">
        <f>SUMIFS(Sheet2!B:B,Sheet2!A:A,Sheet1!A250)</f>
      </c>
      <c r="F250" s="14">
        <f>B250-C250</f>
      </c>
      <c r="G250" s="12"/>
      <c r="H250" s="13"/>
    </row>
    <row x14ac:dyDescent="0.25" r="251" customHeight="1" ht="18.75">
      <c r="A251" s="9">
        <v>45546</v>
      </c>
      <c r="B251" s="14">
        <f>COUNTIFS(Table1[Date],Sheet1!$A251,Table1[Sentiment V1],Sheet1!B$1)</f>
      </c>
      <c r="C251" s="14">
        <f>COUNTIFS(Table1[Date],Sheet1!$A251,Table1[Sentiment V1],Sheet1!C$1)</f>
      </c>
      <c r="D251" s="14">
        <f>COUNTIFS(Table1[Date],Sheet1!$A251,Table1[Sentiment V1],Sheet1!D$1)</f>
      </c>
      <c r="E251" s="16">
        <f>SUMIFS(Sheet2!B:B,Sheet2!A:A,Sheet1!A251)</f>
      </c>
      <c r="F251" s="14">
        <f>B251-C251</f>
      </c>
      <c r="G251" s="12"/>
      <c r="H251" s="13"/>
    </row>
    <row x14ac:dyDescent="0.25" r="252" customHeight="1" ht="18.75">
      <c r="A252" s="9">
        <v>45545</v>
      </c>
      <c r="B252" s="14">
        <f>COUNTIFS(Table1[Date],Sheet1!$A252,Table1[Sentiment V1],Sheet1!B$1)</f>
      </c>
      <c r="C252" s="14">
        <f>COUNTIFS(Table1[Date],Sheet1!$A252,Table1[Sentiment V1],Sheet1!C$1)</f>
      </c>
      <c r="D252" s="14">
        <f>COUNTIFS(Table1[Date],Sheet1!$A252,Table1[Sentiment V1],Sheet1!D$1)</f>
      </c>
      <c r="E252" s="16">
        <f>SUMIFS(Sheet2!B:B,Sheet2!A:A,Sheet1!A252)</f>
      </c>
      <c r="F252" s="14">
        <f>B252-C252</f>
      </c>
      <c r="G252" s="12"/>
      <c r="H252" s="13"/>
    </row>
    <row x14ac:dyDescent="0.25" r="253" customHeight="1" ht="18.75">
      <c r="A253" s="9">
        <v>45544</v>
      </c>
      <c r="B253" s="14">
        <f>COUNTIFS(Table1[Date],Sheet1!$A253,Table1[Sentiment V1],Sheet1!B$1)</f>
      </c>
      <c r="C253" s="14">
        <f>COUNTIFS(Table1[Date],Sheet1!$A253,Table1[Sentiment V1],Sheet1!C$1)</f>
      </c>
      <c r="D253" s="14">
        <f>COUNTIFS(Table1[Date],Sheet1!$A253,Table1[Sentiment V1],Sheet1!D$1)</f>
      </c>
      <c r="E253" s="16">
        <f>SUMIFS(Sheet2!B:B,Sheet2!A:A,Sheet1!A253)</f>
      </c>
      <c r="F253" s="14">
        <f>B253-C253</f>
      </c>
      <c r="G253" s="12"/>
      <c r="H253" s="13"/>
    </row>
    <row x14ac:dyDescent="0.25" r="254" customHeight="1" ht="18.75" hidden="1">
      <c r="A254" s="9">
        <v>45543</v>
      </c>
      <c r="B254" s="14">
        <f>COUNTIFS(Table1[Date],Sheet1!$A254,Table1[Sentiment V1],Sheet1!B$1)</f>
      </c>
      <c r="C254" s="14">
        <f>COUNTIFS(Table1[Date],Sheet1!$A254,Table1[Sentiment V1],Sheet1!C$1)</f>
      </c>
      <c r="D254" s="14">
        <f>COUNTIFS(Table1[Date],Sheet1!$A254,Table1[Sentiment V1],Sheet1!D$1)</f>
      </c>
      <c r="E254" s="15">
        <f>SUMIFS(Sheet2!B:B,Sheet2!A:A,Sheet1!A254)</f>
      </c>
      <c r="F254" s="14">
        <f>B254-C254</f>
      </c>
      <c r="G254" s="12"/>
      <c r="H254" s="13"/>
    </row>
    <row x14ac:dyDescent="0.25" r="255" customHeight="1" ht="18.75">
      <c r="A255" s="9">
        <v>45541</v>
      </c>
      <c r="B255" s="14">
        <f>COUNTIFS(Table1[Date],Sheet1!$A255,Table1[Sentiment V1],Sheet1!B$1)</f>
      </c>
      <c r="C255" s="14">
        <f>COUNTIFS(Table1[Date],Sheet1!$A255,Table1[Sentiment V1],Sheet1!C$1)</f>
      </c>
      <c r="D255" s="14">
        <f>COUNTIFS(Table1[Date],Sheet1!$A255,Table1[Sentiment V1],Sheet1!D$1)</f>
      </c>
      <c r="E255" s="16">
        <f>SUMIFS(Sheet2!B:B,Sheet2!A:A,Sheet1!A255)</f>
      </c>
      <c r="F255" s="14">
        <f>B255-C255</f>
      </c>
      <c r="G255" s="12"/>
      <c r="H255" s="13"/>
    </row>
    <row x14ac:dyDescent="0.25" r="256" customHeight="1" ht="18.75">
      <c r="A256" s="9">
        <v>45540</v>
      </c>
      <c r="B256" s="14">
        <f>COUNTIFS(Table1[Date],Sheet1!$A256,Table1[Sentiment V1],Sheet1!B$1)</f>
      </c>
      <c r="C256" s="14">
        <f>COUNTIFS(Table1[Date],Sheet1!$A256,Table1[Sentiment V1],Sheet1!C$1)</f>
      </c>
      <c r="D256" s="14">
        <f>COUNTIFS(Table1[Date],Sheet1!$A256,Table1[Sentiment V1],Sheet1!D$1)</f>
      </c>
      <c r="E256" s="16">
        <f>SUMIFS(Sheet2!B:B,Sheet2!A:A,Sheet1!A256)</f>
      </c>
      <c r="F256" s="14">
        <f>B256-C256</f>
      </c>
      <c r="G256" s="12"/>
      <c r="H256" s="13"/>
    </row>
    <row x14ac:dyDescent="0.25" r="257" customHeight="1" ht="18.75">
      <c r="A257" s="9">
        <v>45539</v>
      </c>
      <c r="B257" s="14">
        <f>COUNTIFS(Table1[Date],Sheet1!$A257,Table1[Sentiment V1],Sheet1!B$1)</f>
      </c>
      <c r="C257" s="14">
        <f>COUNTIFS(Table1[Date],Sheet1!$A257,Table1[Sentiment V1],Sheet1!C$1)</f>
      </c>
      <c r="D257" s="14">
        <f>COUNTIFS(Table1[Date],Sheet1!$A257,Table1[Sentiment V1],Sheet1!D$1)</f>
      </c>
      <c r="E257" s="16">
        <f>SUMIFS(Sheet2!B:B,Sheet2!A:A,Sheet1!A257)</f>
      </c>
      <c r="F257" s="14">
        <f>B257-C257</f>
      </c>
      <c r="G257" s="12"/>
      <c r="H257" s="13"/>
    </row>
    <row x14ac:dyDescent="0.25" r="258" customHeight="1" ht="18.75">
      <c r="A258" s="9">
        <v>45538</v>
      </c>
      <c r="B258" s="14">
        <f>COUNTIFS(Table1[Date],Sheet1!$A258,Table1[Sentiment V1],Sheet1!B$1)</f>
      </c>
      <c r="C258" s="14">
        <f>COUNTIFS(Table1[Date],Sheet1!$A258,Table1[Sentiment V1],Sheet1!C$1)</f>
      </c>
      <c r="D258" s="14">
        <f>COUNTIFS(Table1[Date],Sheet1!$A258,Table1[Sentiment V1],Sheet1!D$1)</f>
      </c>
      <c r="E258" s="16">
        <f>SUMIFS(Sheet2!B:B,Sheet2!A:A,Sheet1!A258)</f>
      </c>
      <c r="F258" s="14">
        <f>B258-C258</f>
      </c>
      <c r="G258" s="12"/>
      <c r="H258" s="13"/>
    </row>
    <row x14ac:dyDescent="0.25" r="259" customHeight="1" ht="18.75">
      <c r="A259" s="9">
        <v>45537</v>
      </c>
      <c r="B259" s="14">
        <f>COUNTIFS(Table1[Date],Sheet1!$A259,Table1[Sentiment V1],Sheet1!B$1)</f>
      </c>
      <c r="C259" s="14">
        <f>COUNTIFS(Table1[Date],Sheet1!$A259,Table1[Sentiment V1],Sheet1!C$1)</f>
      </c>
      <c r="D259" s="14">
        <f>COUNTIFS(Table1[Date],Sheet1!$A259,Table1[Sentiment V1],Sheet1!D$1)</f>
      </c>
      <c r="E259" s="16">
        <f>SUMIFS(Sheet2!B:B,Sheet2!A:A,Sheet1!A259)</f>
      </c>
      <c r="F259" s="14">
        <f>B259-C259</f>
      </c>
      <c r="G259" s="12"/>
      <c r="H259" s="13"/>
    </row>
    <row x14ac:dyDescent="0.25" r="260" customHeight="1" ht="18.75" hidden="1">
      <c r="A260" s="9">
        <v>45536</v>
      </c>
      <c r="B260" s="14">
        <f>COUNTIFS(Table1[Date],Sheet1!$A260,Table1[Sentiment V1],Sheet1!B$1)</f>
      </c>
      <c r="C260" s="14">
        <f>COUNTIFS(Table1[Date],Sheet1!$A260,Table1[Sentiment V1],Sheet1!C$1)</f>
      </c>
      <c r="D260" s="14">
        <f>COUNTIFS(Table1[Date],Sheet1!$A260,Table1[Sentiment V1],Sheet1!D$1)</f>
      </c>
      <c r="E260" s="15">
        <f>SUMIFS(Sheet2!B:B,Sheet2!A:A,Sheet1!A260)</f>
      </c>
      <c r="F260" s="14">
        <f>B260-C260</f>
      </c>
      <c r="G260" s="12"/>
      <c r="H260" s="13"/>
    </row>
    <row x14ac:dyDescent="0.25" r="261" customHeight="1" ht="18.75">
      <c r="A261" s="9">
        <v>45533</v>
      </c>
      <c r="B261" s="14">
        <f>COUNTIFS(Table1[Date],Sheet1!$A261,Table1[Sentiment V1],Sheet1!B$1)</f>
      </c>
      <c r="C261" s="14">
        <f>COUNTIFS(Table1[Date],Sheet1!$A261,Table1[Sentiment V1],Sheet1!C$1)</f>
      </c>
      <c r="D261" s="14">
        <f>COUNTIFS(Table1[Date],Sheet1!$A261,Table1[Sentiment V1],Sheet1!D$1)</f>
      </c>
      <c r="E261" s="16">
        <f>SUMIFS(Sheet2!B:B,Sheet2!A:A,Sheet1!A261)</f>
      </c>
      <c r="F261" s="14">
        <f>B261-C261</f>
      </c>
      <c r="G261" s="12"/>
      <c r="H261" s="13"/>
    </row>
    <row x14ac:dyDescent="0.25" r="262" customHeight="1" ht="18.75">
      <c r="A262" s="9">
        <v>45531</v>
      </c>
      <c r="B262" s="14">
        <f>COUNTIFS(Table1[Date],Sheet1!$A262,Table1[Sentiment V1],Sheet1!B$1)</f>
      </c>
      <c r="C262" s="14">
        <f>COUNTIFS(Table1[Date],Sheet1!$A262,Table1[Sentiment V1],Sheet1!C$1)</f>
      </c>
      <c r="D262" s="14">
        <f>COUNTIFS(Table1[Date],Sheet1!$A262,Table1[Sentiment V1],Sheet1!D$1)</f>
      </c>
      <c r="E262" s="16">
        <f>SUMIFS(Sheet2!B:B,Sheet2!A:A,Sheet1!A262)</f>
      </c>
      <c r="F262" s="14">
        <f>B262-C262</f>
      </c>
      <c r="G262" s="12"/>
      <c r="H262" s="13"/>
    </row>
    <row x14ac:dyDescent="0.25" r="263" customHeight="1" ht="18.75">
      <c r="A263" s="9">
        <v>45530</v>
      </c>
      <c r="B263" s="14">
        <f>COUNTIFS(Table1[Date],Sheet1!$A263,Table1[Sentiment V1],Sheet1!B$1)</f>
      </c>
      <c r="C263" s="14">
        <f>COUNTIFS(Table1[Date],Sheet1!$A263,Table1[Sentiment V1],Sheet1!C$1)</f>
      </c>
      <c r="D263" s="14">
        <f>COUNTIFS(Table1[Date],Sheet1!$A263,Table1[Sentiment V1],Sheet1!D$1)</f>
      </c>
      <c r="E263" s="16">
        <f>SUMIFS(Sheet2!B:B,Sheet2!A:A,Sheet1!A263)</f>
      </c>
      <c r="F263" s="14">
        <f>B263-C263</f>
      </c>
      <c r="G263" s="12"/>
      <c r="H263" s="13"/>
    </row>
    <row x14ac:dyDescent="0.25" r="264" customHeight="1" ht="18.75">
      <c r="A264" s="9">
        <v>45526</v>
      </c>
      <c r="B264" s="14">
        <f>COUNTIFS(Table1[Date],Sheet1!$A264,Table1[Sentiment V1],Sheet1!B$1)</f>
      </c>
      <c r="C264" s="14">
        <f>COUNTIFS(Table1[Date],Sheet1!$A264,Table1[Sentiment V1],Sheet1!C$1)</f>
      </c>
      <c r="D264" s="14">
        <f>COUNTIFS(Table1[Date],Sheet1!$A264,Table1[Sentiment V1],Sheet1!D$1)</f>
      </c>
      <c r="E264" s="16">
        <f>SUMIFS(Sheet2!B:B,Sheet2!A:A,Sheet1!A264)</f>
      </c>
      <c r="F264" s="14">
        <f>B264-C264</f>
      </c>
      <c r="G264" s="12"/>
      <c r="H264" s="13"/>
    </row>
    <row x14ac:dyDescent="0.25" r="265" customHeight="1" ht="18.75">
      <c r="A265" s="9">
        <v>45525</v>
      </c>
      <c r="B265" s="14">
        <f>COUNTIFS(Table1[Date],Sheet1!$A265,Table1[Sentiment V1],Sheet1!B$1)</f>
      </c>
      <c r="C265" s="14">
        <f>COUNTIFS(Table1[Date],Sheet1!$A265,Table1[Sentiment V1],Sheet1!C$1)</f>
      </c>
      <c r="D265" s="14">
        <f>COUNTIFS(Table1[Date],Sheet1!$A265,Table1[Sentiment V1],Sheet1!D$1)</f>
      </c>
      <c r="E265" s="16">
        <f>SUMIFS(Sheet2!B:B,Sheet2!A:A,Sheet1!A265)</f>
      </c>
      <c r="F265" s="14">
        <f>B265-C265</f>
      </c>
      <c r="G265" s="12"/>
      <c r="H265" s="13"/>
    </row>
    <row x14ac:dyDescent="0.25" r="266" customHeight="1" ht="18.75">
      <c r="A266" s="9">
        <v>45524</v>
      </c>
      <c r="B266" s="14">
        <f>COUNTIFS(Table1[Date],Sheet1!$A266,Table1[Sentiment V1],Sheet1!B$1)</f>
      </c>
      <c r="C266" s="14">
        <f>COUNTIFS(Table1[Date],Sheet1!$A266,Table1[Sentiment V1],Sheet1!C$1)</f>
      </c>
      <c r="D266" s="14">
        <f>COUNTIFS(Table1[Date],Sheet1!$A266,Table1[Sentiment V1],Sheet1!D$1)</f>
      </c>
      <c r="E266" s="16">
        <f>SUMIFS(Sheet2!B:B,Sheet2!A:A,Sheet1!A266)</f>
      </c>
      <c r="F266" s="14">
        <f>B266-C266</f>
      </c>
      <c r="G266" s="12"/>
      <c r="H266" s="13"/>
    </row>
    <row x14ac:dyDescent="0.25" r="267" customHeight="1" ht="18.75">
      <c r="A267" s="9">
        <v>45523</v>
      </c>
      <c r="B267" s="14">
        <f>COUNTIFS(Table1[Date],Sheet1!$A267,Table1[Sentiment V1],Sheet1!B$1)</f>
      </c>
      <c r="C267" s="14">
        <f>COUNTIFS(Table1[Date],Sheet1!$A267,Table1[Sentiment V1],Sheet1!C$1)</f>
      </c>
      <c r="D267" s="14">
        <f>COUNTIFS(Table1[Date],Sheet1!$A267,Table1[Sentiment V1],Sheet1!D$1)</f>
      </c>
      <c r="E267" s="16">
        <f>SUMIFS(Sheet2!B:B,Sheet2!A:A,Sheet1!A267)</f>
      </c>
      <c r="F267" s="14">
        <f>B267-C267</f>
      </c>
      <c r="G267" s="12"/>
      <c r="H267" s="13"/>
    </row>
    <row x14ac:dyDescent="0.25" r="268" customHeight="1" ht="18.75">
      <c r="A268" s="9">
        <v>45519</v>
      </c>
      <c r="B268" s="14">
        <f>COUNTIFS(Table1[Date],Sheet1!$A268,Table1[Sentiment V1],Sheet1!B$1)</f>
      </c>
      <c r="C268" s="14">
        <f>COUNTIFS(Table1[Date],Sheet1!$A268,Table1[Sentiment V1],Sheet1!C$1)</f>
      </c>
      <c r="D268" s="14">
        <f>COUNTIFS(Table1[Date],Sheet1!$A268,Table1[Sentiment V1],Sheet1!D$1)</f>
      </c>
      <c r="E268" s="16">
        <f>SUMIFS(Sheet2!B:B,Sheet2!A:A,Sheet1!A268)</f>
      </c>
      <c r="F268" s="14">
        <f>B268-C268</f>
      </c>
      <c r="G268" s="12"/>
      <c r="H268" s="13"/>
    </row>
    <row x14ac:dyDescent="0.25" r="269" customHeight="1" ht="18.75">
      <c r="A269" s="9">
        <v>45518</v>
      </c>
      <c r="B269" s="14">
        <f>COUNTIFS(Table1[Date],Sheet1!$A269,Table1[Sentiment V1],Sheet1!B$1)</f>
      </c>
      <c r="C269" s="14">
        <f>COUNTIFS(Table1[Date],Sheet1!$A269,Table1[Sentiment V1],Sheet1!C$1)</f>
      </c>
      <c r="D269" s="14">
        <f>COUNTIFS(Table1[Date],Sheet1!$A269,Table1[Sentiment V1],Sheet1!D$1)</f>
      </c>
      <c r="E269" s="16">
        <f>SUMIFS(Sheet2!B:B,Sheet2!A:A,Sheet1!A269)</f>
      </c>
      <c r="F269" s="14">
        <f>B269-C269</f>
      </c>
      <c r="G269" s="12"/>
      <c r="H269" s="13"/>
    </row>
    <row x14ac:dyDescent="0.25" r="270" customHeight="1" ht="18.75">
      <c r="A270" s="9">
        <v>45517</v>
      </c>
      <c r="B270" s="14">
        <f>COUNTIFS(Table1[Date],Sheet1!$A270,Table1[Sentiment V1],Sheet1!B$1)</f>
      </c>
      <c r="C270" s="14">
        <f>COUNTIFS(Table1[Date],Sheet1!$A270,Table1[Sentiment V1],Sheet1!C$1)</f>
      </c>
      <c r="D270" s="14">
        <f>COUNTIFS(Table1[Date],Sheet1!$A270,Table1[Sentiment V1],Sheet1!D$1)</f>
      </c>
      <c r="E270" s="16">
        <f>SUMIFS(Sheet2!B:B,Sheet2!A:A,Sheet1!A270)</f>
      </c>
      <c r="F270" s="14">
        <f>B270-C270</f>
      </c>
      <c r="G270" s="12"/>
      <c r="H270" s="13"/>
    </row>
    <row x14ac:dyDescent="0.25" r="271" customHeight="1" ht="18.75">
      <c r="A271" s="9">
        <v>45516</v>
      </c>
      <c r="B271" s="14">
        <f>COUNTIFS(Table1[Date],Sheet1!$A271,Table1[Sentiment V1],Sheet1!B$1)</f>
      </c>
      <c r="C271" s="14">
        <f>COUNTIFS(Table1[Date],Sheet1!$A271,Table1[Sentiment V1],Sheet1!C$1)</f>
      </c>
      <c r="D271" s="14">
        <f>COUNTIFS(Table1[Date],Sheet1!$A271,Table1[Sentiment V1],Sheet1!D$1)</f>
      </c>
      <c r="E271" s="16">
        <f>SUMIFS(Sheet2!B:B,Sheet2!A:A,Sheet1!A271)</f>
      </c>
      <c r="F271" s="14">
        <f>B271-C271</f>
      </c>
      <c r="G271" s="12"/>
      <c r="H271" s="13"/>
    </row>
    <row x14ac:dyDescent="0.25" r="272" customHeight="1" ht="18.75" hidden="1">
      <c r="A272" s="9">
        <v>45515</v>
      </c>
      <c r="B272" s="14">
        <f>COUNTIFS(Table1[Date],Sheet1!$A272,Table1[Sentiment V1],Sheet1!B$1)</f>
      </c>
      <c r="C272" s="14">
        <f>COUNTIFS(Table1[Date],Sheet1!$A272,Table1[Sentiment V1],Sheet1!C$1)</f>
      </c>
      <c r="D272" s="14">
        <f>COUNTIFS(Table1[Date],Sheet1!$A272,Table1[Sentiment V1],Sheet1!D$1)</f>
      </c>
      <c r="E272" s="15">
        <f>SUMIFS(Sheet2!B:B,Sheet2!A:A,Sheet1!A272)</f>
      </c>
      <c r="F272" s="14">
        <f>B272-C272</f>
      </c>
      <c r="G272" s="12"/>
      <c r="H272" s="13"/>
    </row>
    <row x14ac:dyDescent="0.25" r="273" customHeight="1" ht="18.75">
      <c r="A273" s="9">
        <v>45512</v>
      </c>
      <c r="B273" s="14">
        <f>COUNTIFS(Table1[Date],Sheet1!$A273,Table1[Sentiment V1],Sheet1!B$1)</f>
      </c>
      <c r="C273" s="14">
        <f>COUNTIFS(Table1[Date],Sheet1!$A273,Table1[Sentiment V1],Sheet1!C$1)</f>
      </c>
      <c r="D273" s="14">
        <f>COUNTIFS(Table1[Date],Sheet1!$A273,Table1[Sentiment V1],Sheet1!D$1)</f>
      </c>
      <c r="E273" s="16">
        <f>SUMIFS(Sheet2!B:B,Sheet2!A:A,Sheet1!A273)</f>
      </c>
      <c r="F273" s="14">
        <f>B273-C273</f>
      </c>
      <c r="G273" s="12"/>
      <c r="H273" s="13"/>
    </row>
    <row x14ac:dyDescent="0.25" r="274" customHeight="1" ht="18.75">
      <c r="A274" s="9">
        <v>45511</v>
      </c>
      <c r="B274" s="14">
        <f>COUNTIFS(Table1[Date],Sheet1!$A274,Table1[Sentiment V1],Sheet1!B$1)</f>
      </c>
      <c r="C274" s="14">
        <f>COUNTIFS(Table1[Date],Sheet1!$A274,Table1[Sentiment V1],Sheet1!C$1)</f>
      </c>
      <c r="D274" s="14">
        <f>COUNTIFS(Table1[Date],Sheet1!$A274,Table1[Sentiment V1],Sheet1!D$1)</f>
      </c>
      <c r="E274" s="16">
        <f>SUMIFS(Sheet2!B:B,Sheet2!A:A,Sheet1!A274)</f>
      </c>
      <c r="F274" s="14">
        <f>B274-C274</f>
      </c>
      <c r="G274" s="12"/>
      <c r="H274" s="13"/>
    </row>
    <row x14ac:dyDescent="0.25" r="275" customHeight="1" ht="18.75">
      <c r="A275" s="9">
        <v>45510</v>
      </c>
      <c r="B275" s="14">
        <f>COUNTIFS(Table1[Date],Sheet1!$A275,Table1[Sentiment V1],Sheet1!B$1)</f>
      </c>
      <c r="C275" s="14">
        <f>COUNTIFS(Table1[Date],Sheet1!$A275,Table1[Sentiment V1],Sheet1!C$1)</f>
      </c>
      <c r="D275" s="14">
        <f>COUNTIFS(Table1[Date],Sheet1!$A275,Table1[Sentiment V1],Sheet1!D$1)</f>
      </c>
      <c r="E275" s="16">
        <f>SUMIFS(Sheet2!B:B,Sheet2!A:A,Sheet1!A275)</f>
      </c>
      <c r="F275" s="14">
        <f>B275-C275</f>
      </c>
      <c r="G275" s="12"/>
      <c r="H275" s="13"/>
    </row>
    <row x14ac:dyDescent="0.25" r="276" customHeight="1" ht="18.75">
      <c r="A276" s="9">
        <v>45509</v>
      </c>
      <c r="B276" s="14">
        <f>COUNTIFS(Table1[Date],Sheet1!$A276,Table1[Sentiment V1],Sheet1!B$1)</f>
      </c>
      <c r="C276" s="14">
        <f>COUNTIFS(Table1[Date],Sheet1!$A276,Table1[Sentiment V1],Sheet1!C$1)</f>
      </c>
      <c r="D276" s="14">
        <f>COUNTIFS(Table1[Date],Sheet1!$A276,Table1[Sentiment V1],Sheet1!D$1)</f>
      </c>
      <c r="E276" s="16">
        <f>SUMIFS(Sheet2!B:B,Sheet2!A:A,Sheet1!A276)</f>
      </c>
      <c r="F276" s="14">
        <f>B276-C276</f>
      </c>
      <c r="G276" s="12"/>
      <c r="H276" s="13"/>
    </row>
    <row x14ac:dyDescent="0.25" r="277" customHeight="1" ht="18.75" hidden="1">
      <c r="A277" s="9">
        <v>45508</v>
      </c>
      <c r="B277" s="14">
        <f>COUNTIFS(Table1[Date],Sheet1!$A277,Table1[Sentiment V1],Sheet1!B$1)</f>
      </c>
      <c r="C277" s="14">
        <f>COUNTIFS(Table1[Date],Sheet1!$A277,Table1[Sentiment V1],Sheet1!C$1)</f>
      </c>
      <c r="D277" s="14">
        <f>COUNTIFS(Table1[Date],Sheet1!$A277,Table1[Sentiment V1],Sheet1!D$1)</f>
      </c>
      <c r="E277" s="15">
        <f>SUMIFS(Sheet2!B:B,Sheet2!A:A,Sheet1!A277)</f>
      </c>
      <c r="F277" s="14">
        <f>B277-C277</f>
      </c>
      <c r="G277" s="12"/>
      <c r="H277" s="13"/>
    </row>
    <row x14ac:dyDescent="0.25" r="278" customHeight="1" ht="18.75">
      <c r="A278" s="9">
        <v>45506</v>
      </c>
      <c r="B278" s="14">
        <f>COUNTIFS(Table1[Date],Sheet1!$A278,Table1[Sentiment V1],Sheet1!B$1)</f>
      </c>
      <c r="C278" s="14">
        <f>COUNTIFS(Table1[Date],Sheet1!$A278,Table1[Sentiment V1],Sheet1!C$1)</f>
      </c>
      <c r="D278" s="14">
        <f>COUNTIFS(Table1[Date],Sheet1!$A278,Table1[Sentiment V1],Sheet1!D$1)</f>
      </c>
      <c r="E278" s="16">
        <f>SUMIFS(Sheet2!B:B,Sheet2!A:A,Sheet1!A278)</f>
      </c>
      <c r="F278" s="14">
        <f>B278-C278</f>
      </c>
      <c r="G278" s="12"/>
      <c r="H278" s="13"/>
    </row>
    <row x14ac:dyDescent="0.25" r="279" customHeight="1" ht="18.75">
      <c r="A279" s="9">
        <v>45505</v>
      </c>
      <c r="B279" s="14">
        <f>COUNTIFS(Table1[Date],Sheet1!$A279,Table1[Sentiment V1],Sheet1!B$1)</f>
      </c>
      <c r="C279" s="14">
        <f>COUNTIFS(Table1[Date],Sheet1!$A279,Table1[Sentiment V1],Sheet1!C$1)</f>
      </c>
      <c r="D279" s="14">
        <f>COUNTIFS(Table1[Date],Sheet1!$A279,Table1[Sentiment V1],Sheet1!D$1)</f>
      </c>
      <c r="E279" s="16">
        <f>SUMIFS(Sheet2!B:B,Sheet2!A:A,Sheet1!A279)</f>
      </c>
      <c r="F279" s="14">
        <f>B279-C279</f>
      </c>
      <c r="G279" s="12"/>
      <c r="H279" s="13"/>
    </row>
    <row x14ac:dyDescent="0.25" r="280" customHeight="1" ht="18.75">
      <c r="A280" s="9">
        <v>45504</v>
      </c>
      <c r="B280" s="14">
        <f>COUNTIFS(Table1[Date],Sheet1!$A280,Table1[Sentiment V1],Sheet1!B$1)</f>
      </c>
      <c r="C280" s="14">
        <f>COUNTIFS(Table1[Date],Sheet1!$A280,Table1[Sentiment V1],Sheet1!C$1)</f>
      </c>
      <c r="D280" s="14">
        <f>COUNTIFS(Table1[Date],Sheet1!$A280,Table1[Sentiment V1],Sheet1!D$1)</f>
      </c>
      <c r="E280" s="16">
        <f>SUMIFS(Sheet2!B:B,Sheet2!A:A,Sheet1!A280)</f>
      </c>
      <c r="F280" s="14">
        <f>B280-C280</f>
      </c>
      <c r="G280" s="12"/>
      <c r="H280" s="13"/>
    </row>
    <row x14ac:dyDescent="0.25" r="281" customHeight="1" ht="18.75">
      <c r="A281" s="9">
        <v>45503</v>
      </c>
      <c r="B281" s="14">
        <f>COUNTIFS(Table1[Date],Sheet1!$A281,Table1[Sentiment V1],Sheet1!B$1)</f>
      </c>
      <c r="C281" s="14">
        <f>COUNTIFS(Table1[Date],Sheet1!$A281,Table1[Sentiment V1],Sheet1!C$1)</f>
      </c>
      <c r="D281" s="14">
        <f>COUNTIFS(Table1[Date],Sheet1!$A281,Table1[Sentiment V1],Sheet1!D$1)</f>
      </c>
      <c r="E281" s="16">
        <f>SUMIFS(Sheet2!B:B,Sheet2!A:A,Sheet1!A281)</f>
      </c>
      <c r="F281" s="14">
        <f>B281-C281</f>
      </c>
      <c r="G281" s="12"/>
      <c r="H281" s="13"/>
    </row>
    <row x14ac:dyDescent="0.25" r="282" customHeight="1" ht="18.75">
      <c r="A282" s="9">
        <v>45502</v>
      </c>
      <c r="B282" s="14">
        <f>COUNTIFS(Table1[Date],Sheet1!$A282,Table1[Sentiment V1],Sheet1!B$1)</f>
      </c>
      <c r="C282" s="14">
        <f>COUNTIFS(Table1[Date],Sheet1!$A282,Table1[Sentiment V1],Sheet1!C$1)</f>
      </c>
      <c r="D282" s="14">
        <f>COUNTIFS(Table1[Date],Sheet1!$A282,Table1[Sentiment V1],Sheet1!D$1)</f>
      </c>
      <c r="E282" s="16">
        <f>SUMIFS(Sheet2!B:B,Sheet2!A:A,Sheet1!A282)</f>
      </c>
      <c r="F282" s="14">
        <f>B282-C282</f>
      </c>
      <c r="G282" s="12"/>
      <c r="H282" s="13"/>
    </row>
    <row x14ac:dyDescent="0.25" r="283" customHeight="1" ht="18.75">
      <c r="A283" s="9">
        <v>45499</v>
      </c>
      <c r="B283" s="14">
        <f>COUNTIFS(Table1[Date],Sheet1!$A283,Table1[Sentiment V1],Sheet1!B$1)</f>
      </c>
      <c r="C283" s="14">
        <f>COUNTIFS(Table1[Date],Sheet1!$A283,Table1[Sentiment V1],Sheet1!C$1)</f>
      </c>
      <c r="D283" s="14">
        <f>COUNTIFS(Table1[Date],Sheet1!$A283,Table1[Sentiment V1],Sheet1!D$1)</f>
      </c>
      <c r="E283" s="16">
        <f>SUMIFS(Sheet2!B:B,Sheet2!A:A,Sheet1!A283)</f>
      </c>
      <c r="F283" s="14">
        <f>B283-C283</f>
      </c>
      <c r="G283" s="12"/>
      <c r="H283" s="13"/>
    </row>
    <row x14ac:dyDescent="0.25" r="284" customHeight="1" ht="18.75">
      <c r="A284" s="9">
        <v>45498</v>
      </c>
      <c r="B284" s="14">
        <f>COUNTIFS(Table1[Date],Sheet1!$A284,Table1[Sentiment V1],Sheet1!B$1)</f>
      </c>
      <c r="C284" s="14">
        <f>COUNTIFS(Table1[Date],Sheet1!$A284,Table1[Sentiment V1],Sheet1!C$1)</f>
      </c>
      <c r="D284" s="14">
        <f>COUNTIFS(Table1[Date],Sheet1!$A284,Table1[Sentiment V1],Sheet1!D$1)</f>
      </c>
      <c r="E284" s="16">
        <f>SUMIFS(Sheet2!B:B,Sheet2!A:A,Sheet1!A284)</f>
      </c>
      <c r="F284" s="14">
        <f>B284-C284</f>
      </c>
      <c r="G284" s="12"/>
      <c r="H284" s="13"/>
    </row>
    <row x14ac:dyDescent="0.25" r="285" customHeight="1" ht="18.75">
      <c r="A285" s="9">
        <v>45497</v>
      </c>
      <c r="B285" s="14">
        <f>COUNTIFS(Table1[Date],Sheet1!$A285,Table1[Sentiment V1],Sheet1!B$1)</f>
      </c>
      <c r="C285" s="14">
        <f>COUNTIFS(Table1[Date],Sheet1!$A285,Table1[Sentiment V1],Sheet1!C$1)</f>
      </c>
      <c r="D285" s="14">
        <f>COUNTIFS(Table1[Date],Sheet1!$A285,Table1[Sentiment V1],Sheet1!D$1)</f>
      </c>
      <c r="E285" s="16">
        <f>SUMIFS(Sheet2!B:B,Sheet2!A:A,Sheet1!A285)</f>
      </c>
      <c r="F285" s="14">
        <f>B285-C285</f>
      </c>
      <c r="G285" s="12"/>
      <c r="H285" s="13"/>
    </row>
    <row x14ac:dyDescent="0.25" r="286" customHeight="1" ht="18.75">
      <c r="A286" s="9">
        <v>45496</v>
      </c>
      <c r="B286" s="14">
        <f>COUNTIFS(Table1[Date],Sheet1!$A286,Table1[Sentiment V1],Sheet1!B$1)</f>
      </c>
      <c r="C286" s="14">
        <f>COUNTIFS(Table1[Date],Sheet1!$A286,Table1[Sentiment V1],Sheet1!C$1)</f>
      </c>
      <c r="D286" s="14">
        <f>COUNTIFS(Table1[Date],Sheet1!$A286,Table1[Sentiment V1],Sheet1!D$1)</f>
      </c>
      <c r="E286" s="16">
        <f>SUMIFS(Sheet2!B:B,Sheet2!A:A,Sheet1!A286)</f>
      </c>
      <c r="F286" s="14">
        <f>B286-C286</f>
      </c>
      <c r="G286" s="12"/>
      <c r="H286" s="13"/>
    </row>
    <row x14ac:dyDescent="0.25" r="287" customHeight="1" ht="18.75">
      <c r="A287" s="9">
        <v>45495</v>
      </c>
      <c r="B287" s="14">
        <f>COUNTIFS(Table1[Date],Sheet1!$A287,Table1[Sentiment V1],Sheet1!B$1)</f>
      </c>
      <c r="C287" s="14">
        <f>COUNTIFS(Table1[Date],Sheet1!$A287,Table1[Sentiment V1],Sheet1!C$1)</f>
      </c>
      <c r="D287" s="14">
        <f>COUNTIFS(Table1[Date],Sheet1!$A287,Table1[Sentiment V1],Sheet1!D$1)</f>
      </c>
      <c r="E287" s="16">
        <f>SUMIFS(Sheet2!B:B,Sheet2!A:A,Sheet1!A287)</f>
      </c>
      <c r="F287" s="14">
        <f>B287-C287</f>
      </c>
      <c r="G287" s="12"/>
      <c r="H287" s="13"/>
    </row>
    <row x14ac:dyDescent="0.25" r="288" customHeight="1" ht="18.75" hidden="1">
      <c r="A288" s="9">
        <v>45493</v>
      </c>
      <c r="B288" s="14">
        <f>COUNTIFS(Table1[Date],Sheet1!$A288,Table1[Sentiment V1],Sheet1!B$1)</f>
      </c>
      <c r="C288" s="14">
        <f>COUNTIFS(Table1[Date],Sheet1!$A288,Table1[Sentiment V1],Sheet1!C$1)</f>
      </c>
      <c r="D288" s="14">
        <f>COUNTIFS(Table1[Date],Sheet1!$A288,Table1[Sentiment V1],Sheet1!D$1)</f>
      </c>
      <c r="E288" s="15">
        <f>SUMIFS(Sheet2!B:B,Sheet2!A:A,Sheet1!A288)</f>
      </c>
      <c r="F288" s="14">
        <f>B288-C288</f>
      </c>
      <c r="G288" s="12"/>
      <c r="H288" s="13"/>
    </row>
    <row x14ac:dyDescent="0.25" r="289" customHeight="1" ht="18.75">
      <c r="A289" s="9">
        <v>45492</v>
      </c>
      <c r="B289" s="14">
        <f>COUNTIFS(Table1[Date],Sheet1!$A289,Table1[Sentiment V1],Sheet1!B$1)</f>
      </c>
      <c r="C289" s="14">
        <f>COUNTIFS(Table1[Date],Sheet1!$A289,Table1[Sentiment V1],Sheet1!C$1)</f>
      </c>
      <c r="D289" s="14">
        <f>COUNTIFS(Table1[Date],Sheet1!$A289,Table1[Sentiment V1],Sheet1!D$1)</f>
      </c>
      <c r="E289" s="16">
        <f>SUMIFS(Sheet2!B:B,Sheet2!A:A,Sheet1!A289)</f>
      </c>
      <c r="F289" s="14">
        <f>B289-C289</f>
      </c>
      <c r="G289" s="12"/>
      <c r="H289" s="13"/>
    </row>
    <row x14ac:dyDescent="0.25" r="290" customHeight="1" ht="18.75">
      <c r="A290" s="9">
        <v>45491</v>
      </c>
      <c r="B290" s="14">
        <f>COUNTIFS(Table1[Date],Sheet1!$A290,Table1[Sentiment V1],Sheet1!B$1)</f>
      </c>
      <c r="C290" s="14">
        <f>COUNTIFS(Table1[Date],Sheet1!$A290,Table1[Sentiment V1],Sheet1!C$1)</f>
      </c>
      <c r="D290" s="14">
        <f>COUNTIFS(Table1[Date],Sheet1!$A290,Table1[Sentiment V1],Sheet1!D$1)</f>
      </c>
      <c r="E290" s="16">
        <f>SUMIFS(Sheet2!B:B,Sheet2!A:A,Sheet1!A290)</f>
      </c>
      <c r="F290" s="14">
        <f>B290-C290</f>
      </c>
      <c r="G290" s="12"/>
      <c r="H290" s="13"/>
    </row>
    <row x14ac:dyDescent="0.25" r="291" customHeight="1" ht="18.75">
      <c r="A291" s="9">
        <v>45490</v>
      </c>
      <c r="B291" s="14">
        <f>COUNTIFS(Table1[Date],Sheet1!$A291,Table1[Sentiment V1],Sheet1!B$1)</f>
      </c>
      <c r="C291" s="14">
        <f>COUNTIFS(Table1[Date],Sheet1!$A291,Table1[Sentiment V1],Sheet1!C$1)</f>
      </c>
      <c r="D291" s="14">
        <f>COUNTIFS(Table1[Date],Sheet1!$A291,Table1[Sentiment V1],Sheet1!D$1)</f>
      </c>
      <c r="E291" s="16">
        <f>SUMIFS(Sheet2!B:B,Sheet2!A:A,Sheet1!A291)</f>
      </c>
      <c r="F291" s="14">
        <f>B291-C291</f>
      </c>
      <c r="G291" s="12"/>
      <c r="H291" s="13"/>
    </row>
    <row x14ac:dyDescent="0.25" r="292" customHeight="1" ht="18.75">
      <c r="A292" s="9">
        <v>45489</v>
      </c>
      <c r="B292" s="14">
        <f>COUNTIFS(Table1[Date],Sheet1!$A292,Table1[Sentiment V1],Sheet1!B$1)</f>
      </c>
      <c r="C292" s="14">
        <f>COUNTIFS(Table1[Date],Sheet1!$A292,Table1[Sentiment V1],Sheet1!C$1)</f>
      </c>
      <c r="D292" s="14">
        <f>COUNTIFS(Table1[Date],Sheet1!$A292,Table1[Sentiment V1],Sheet1!D$1)</f>
      </c>
      <c r="E292" s="16">
        <f>SUMIFS(Sheet2!B:B,Sheet2!A:A,Sheet1!A292)</f>
      </c>
      <c r="F292" s="14">
        <f>B292-C292</f>
      </c>
      <c r="G292" s="12"/>
      <c r="H292" s="13"/>
    </row>
    <row x14ac:dyDescent="0.25" r="293" customHeight="1" ht="18.75">
      <c r="A293" s="9">
        <v>45488</v>
      </c>
      <c r="B293" s="14">
        <f>COUNTIFS(Table1[Date],Sheet1!$A293,Table1[Sentiment V1],Sheet1!B$1)</f>
      </c>
      <c r="C293" s="14">
        <f>COUNTIFS(Table1[Date],Sheet1!$A293,Table1[Sentiment V1],Sheet1!C$1)</f>
      </c>
      <c r="D293" s="14">
        <f>COUNTIFS(Table1[Date],Sheet1!$A293,Table1[Sentiment V1],Sheet1!D$1)</f>
      </c>
      <c r="E293" s="16">
        <f>SUMIFS(Sheet2!B:B,Sheet2!A:A,Sheet1!A293)</f>
      </c>
      <c r="F293" s="14">
        <f>B293-C293</f>
      </c>
      <c r="G293" s="12"/>
      <c r="H293" s="13"/>
    </row>
    <row x14ac:dyDescent="0.25" r="294" customHeight="1" ht="18.75">
      <c r="A294" s="9">
        <v>45485</v>
      </c>
      <c r="B294" s="14">
        <f>COUNTIFS(Table1[Date],Sheet1!$A294,Table1[Sentiment V1],Sheet1!B$1)</f>
      </c>
      <c r="C294" s="14">
        <f>COUNTIFS(Table1[Date],Sheet1!$A294,Table1[Sentiment V1],Sheet1!C$1)</f>
      </c>
      <c r="D294" s="14">
        <f>COUNTIFS(Table1[Date],Sheet1!$A294,Table1[Sentiment V1],Sheet1!D$1)</f>
      </c>
      <c r="E294" s="16">
        <f>SUMIFS(Sheet2!B:B,Sheet2!A:A,Sheet1!A294)</f>
      </c>
      <c r="F294" s="14">
        <f>B294-C294</f>
      </c>
      <c r="G294" s="12"/>
      <c r="H294" s="13"/>
    </row>
    <row x14ac:dyDescent="0.25" r="295" customHeight="1" ht="18.75">
      <c r="A295" s="9">
        <v>45484</v>
      </c>
      <c r="B295" s="14">
        <f>COUNTIFS(Table1[Date],Sheet1!$A295,Table1[Sentiment V1],Sheet1!B$1)</f>
      </c>
      <c r="C295" s="14">
        <f>COUNTIFS(Table1[Date],Sheet1!$A295,Table1[Sentiment V1],Sheet1!C$1)</f>
      </c>
      <c r="D295" s="14">
        <f>COUNTIFS(Table1[Date],Sheet1!$A295,Table1[Sentiment V1],Sheet1!D$1)</f>
      </c>
      <c r="E295" s="16">
        <f>SUMIFS(Sheet2!B:B,Sheet2!A:A,Sheet1!A295)</f>
      </c>
      <c r="F295" s="14">
        <f>B295-C295</f>
      </c>
      <c r="G295" s="12"/>
      <c r="H295" s="13"/>
    </row>
    <row x14ac:dyDescent="0.25" r="296" customHeight="1" ht="18.75">
      <c r="A296" s="9">
        <v>45483</v>
      </c>
      <c r="B296" s="14">
        <f>COUNTIFS(Table1[Date],Sheet1!$A296,Table1[Sentiment V1],Sheet1!B$1)</f>
      </c>
      <c r="C296" s="14">
        <f>COUNTIFS(Table1[Date],Sheet1!$A296,Table1[Sentiment V1],Sheet1!C$1)</f>
      </c>
      <c r="D296" s="14">
        <f>COUNTIFS(Table1[Date],Sheet1!$A296,Table1[Sentiment V1],Sheet1!D$1)</f>
      </c>
      <c r="E296" s="16">
        <f>SUMIFS(Sheet2!B:B,Sheet2!A:A,Sheet1!A296)</f>
      </c>
      <c r="F296" s="14">
        <f>B296-C296</f>
      </c>
      <c r="G296" s="12"/>
      <c r="H296" s="13"/>
    </row>
    <row x14ac:dyDescent="0.25" r="297" customHeight="1" ht="18.75">
      <c r="A297" s="9">
        <v>45482</v>
      </c>
      <c r="B297" s="14">
        <f>COUNTIFS(Table1[Date],Sheet1!$A297,Table1[Sentiment V1],Sheet1!B$1)</f>
      </c>
      <c r="C297" s="14">
        <f>COUNTIFS(Table1[Date],Sheet1!$A297,Table1[Sentiment V1],Sheet1!C$1)</f>
      </c>
      <c r="D297" s="14">
        <f>COUNTIFS(Table1[Date],Sheet1!$A297,Table1[Sentiment V1],Sheet1!D$1)</f>
      </c>
      <c r="E297" s="16">
        <f>SUMIFS(Sheet2!B:B,Sheet2!A:A,Sheet1!A297)</f>
      </c>
      <c r="F297" s="14">
        <f>B297-C297</f>
      </c>
      <c r="G297" s="12"/>
      <c r="H297" s="13"/>
    </row>
    <row x14ac:dyDescent="0.25" r="298" customHeight="1" ht="18.75">
      <c r="A298" s="9">
        <v>45481</v>
      </c>
      <c r="B298" s="14">
        <f>COUNTIFS(Table1[Date],Sheet1!$A298,Table1[Sentiment V1],Sheet1!B$1)</f>
      </c>
      <c r="C298" s="14">
        <f>COUNTIFS(Table1[Date],Sheet1!$A298,Table1[Sentiment V1],Sheet1!C$1)</f>
      </c>
      <c r="D298" s="14">
        <f>COUNTIFS(Table1[Date],Sheet1!$A298,Table1[Sentiment V1],Sheet1!D$1)</f>
      </c>
      <c r="E298" s="16">
        <f>SUMIFS(Sheet2!B:B,Sheet2!A:A,Sheet1!A298)</f>
      </c>
      <c r="F298" s="14">
        <f>B298-C298</f>
      </c>
      <c r="G298" s="12"/>
      <c r="H298" s="13"/>
    </row>
    <row x14ac:dyDescent="0.25" r="299" customHeight="1" ht="18.75">
      <c r="A299" s="9">
        <v>45478</v>
      </c>
      <c r="B299" s="14">
        <f>COUNTIFS(Table1[Date],Sheet1!$A299,Table1[Sentiment V1],Sheet1!B$1)</f>
      </c>
      <c r="C299" s="14">
        <f>COUNTIFS(Table1[Date],Sheet1!$A299,Table1[Sentiment V1],Sheet1!C$1)</f>
      </c>
      <c r="D299" s="14">
        <f>COUNTIFS(Table1[Date],Sheet1!$A299,Table1[Sentiment V1],Sheet1!D$1)</f>
      </c>
      <c r="E299" s="16">
        <f>SUMIFS(Sheet2!B:B,Sheet2!A:A,Sheet1!A299)</f>
      </c>
      <c r="F299" s="14">
        <f>B299-C299</f>
      </c>
      <c r="G299" s="12"/>
      <c r="H299" s="13"/>
    </row>
    <row x14ac:dyDescent="0.25" r="300" customHeight="1" ht="18.75">
      <c r="A300" s="9">
        <v>45477</v>
      </c>
      <c r="B300" s="14">
        <f>COUNTIFS(Table1[Date],Sheet1!$A300,Table1[Sentiment V1],Sheet1!B$1)</f>
      </c>
      <c r="C300" s="14">
        <f>COUNTIFS(Table1[Date],Sheet1!$A300,Table1[Sentiment V1],Sheet1!C$1)</f>
      </c>
      <c r="D300" s="14">
        <f>COUNTIFS(Table1[Date],Sheet1!$A300,Table1[Sentiment V1],Sheet1!D$1)</f>
      </c>
      <c r="E300" s="16">
        <f>SUMIFS(Sheet2!B:B,Sheet2!A:A,Sheet1!A300)</f>
      </c>
      <c r="F300" s="14">
        <f>B300-C300</f>
      </c>
      <c r="G300" s="12"/>
      <c r="H300" s="13"/>
    </row>
    <row x14ac:dyDescent="0.25" r="301" customHeight="1" ht="18.75">
      <c r="A301" s="9">
        <v>45476</v>
      </c>
      <c r="B301" s="14">
        <f>COUNTIFS(Table1[Date],Sheet1!$A301,Table1[Sentiment V1],Sheet1!B$1)</f>
      </c>
      <c r="C301" s="14">
        <f>COUNTIFS(Table1[Date],Sheet1!$A301,Table1[Sentiment V1],Sheet1!C$1)</f>
      </c>
      <c r="D301" s="14">
        <f>COUNTIFS(Table1[Date],Sheet1!$A301,Table1[Sentiment V1],Sheet1!D$1)</f>
      </c>
      <c r="E301" s="16">
        <f>SUMIFS(Sheet2!B:B,Sheet2!A:A,Sheet1!A301)</f>
      </c>
      <c r="F301" s="14">
        <f>B301-C301</f>
      </c>
      <c r="G301" s="12"/>
      <c r="H301" s="13"/>
    </row>
    <row x14ac:dyDescent="0.25" r="302" customHeight="1" ht="18.75">
      <c r="A302" s="9">
        <v>45475</v>
      </c>
      <c r="B302" s="14">
        <f>COUNTIFS(Table1[Date],Sheet1!$A302,Table1[Sentiment V1],Sheet1!B$1)</f>
      </c>
      <c r="C302" s="14">
        <f>COUNTIFS(Table1[Date],Sheet1!$A302,Table1[Sentiment V1],Sheet1!C$1)</f>
      </c>
      <c r="D302" s="14">
        <f>COUNTIFS(Table1[Date],Sheet1!$A302,Table1[Sentiment V1],Sheet1!D$1)</f>
      </c>
      <c r="E302" s="16">
        <f>SUMIFS(Sheet2!B:B,Sheet2!A:A,Sheet1!A302)</f>
      </c>
      <c r="F302" s="14">
        <f>B302-C302</f>
      </c>
      <c r="G302" s="12"/>
      <c r="H302" s="13"/>
    </row>
    <row x14ac:dyDescent="0.25" r="303" customHeight="1" ht="18.75">
      <c r="A303" s="9">
        <v>45471</v>
      </c>
      <c r="B303" s="14">
        <f>COUNTIFS(Table1[Date],Sheet1!$A303,Table1[Sentiment V1],Sheet1!B$1)</f>
      </c>
      <c r="C303" s="14">
        <f>COUNTIFS(Table1[Date],Sheet1!$A303,Table1[Sentiment V1],Sheet1!C$1)</f>
      </c>
      <c r="D303" s="14">
        <f>COUNTIFS(Table1[Date],Sheet1!$A303,Table1[Sentiment V1],Sheet1!D$1)</f>
      </c>
      <c r="E303" s="16">
        <f>SUMIFS(Sheet2!B:B,Sheet2!A:A,Sheet1!A303)</f>
      </c>
      <c r="F303" s="14">
        <f>B303-C303</f>
      </c>
      <c r="G303" s="12"/>
      <c r="H303" s="13"/>
    </row>
    <row x14ac:dyDescent="0.25" r="304" customHeight="1" ht="18.75">
      <c r="A304" s="9">
        <v>45470</v>
      </c>
      <c r="B304" s="14">
        <f>COUNTIFS(Table1[Date],Sheet1!$A304,Table1[Sentiment V1],Sheet1!B$1)</f>
      </c>
      <c r="C304" s="14">
        <f>COUNTIFS(Table1[Date],Sheet1!$A304,Table1[Sentiment V1],Sheet1!C$1)</f>
      </c>
      <c r="D304" s="14">
        <f>COUNTIFS(Table1[Date],Sheet1!$A304,Table1[Sentiment V1],Sheet1!D$1)</f>
      </c>
      <c r="E304" s="16">
        <f>SUMIFS(Sheet2!B:B,Sheet2!A:A,Sheet1!A304)</f>
      </c>
      <c r="F304" s="14">
        <f>B304-C304</f>
      </c>
      <c r="G304" s="12"/>
      <c r="H304" s="13"/>
    </row>
    <row x14ac:dyDescent="0.25" r="305" customHeight="1" ht="18.75">
      <c r="A305" s="9">
        <v>45467</v>
      </c>
      <c r="B305" s="14">
        <f>COUNTIFS(Table1[Date],Sheet1!$A305,Table1[Sentiment V1],Sheet1!B$1)</f>
      </c>
      <c r="C305" s="14">
        <f>COUNTIFS(Table1[Date],Sheet1!$A305,Table1[Sentiment V1],Sheet1!C$1)</f>
      </c>
      <c r="D305" s="14">
        <f>COUNTIFS(Table1[Date],Sheet1!$A305,Table1[Sentiment V1],Sheet1!D$1)</f>
      </c>
      <c r="E305" s="16">
        <f>SUMIFS(Sheet2!B:B,Sheet2!A:A,Sheet1!A305)</f>
      </c>
      <c r="F305" s="14">
        <f>B305-C305</f>
      </c>
      <c r="G305" s="12"/>
      <c r="H305" s="13"/>
    </row>
    <row x14ac:dyDescent="0.25" r="306" customHeight="1" ht="18.75">
      <c r="A306" s="9">
        <v>45464</v>
      </c>
      <c r="B306" s="14">
        <f>COUNTIFS(Table1[Date],Sheet1!$A306,Table1[Sentiment V1],Sheet1!B$1)</f>
      </c>
      <c r="C306" s="14">
        <f>COUNTIFS(Table1[Date],Sheet1!$A306,Table1[Sentiment V1],Sheet1!C$1)</f>
      </c>
      <c r="D306" s="14">
        <f>COUNTIFS(Table1[Date],Sheet1!$A306,Table1[Sentiment V1],Sheet1!D$1)</f>
      </c>
      <c r="E306" s="16">
        <f>SUMIFS(Sheet2!B:B,Sheet2!A:A,Sheet1!A306)</f>
      </c>
      <c r="F306" s="14">
        <f>B306-C306</f>
      </c>
      <c r="G306" s="12"/>
      <c r="H306" s="13"/>
    </row>
    <row x14ac:dyDescent="0.25" r="307" customHeight="1" ht="18.75">
      <c r="A307" s="9">
        <v>45463</v>
      </c>
      <c r="B307" s="14">
        <f>COUNTIFS(Table1[Date],Sheet1!$A307,Table1[Sentiment V1],Sheet1!B$1)</f>
      </c>
      <c r="C307" s="14">
        <f>COUNTIFS(Table1[Date],Sheet1!$A307,Table1[Sentiment V1],Sheet1!C$1)</f>
      </c>
      <c r="D307" s="14">
        <f>COUNTIFS(Table1[Date],Sheet1!$A307,Table1[Sentiment V1],Sheet1!D$1)</f>
      </c>
      <c r="E307" s="16">
        <f>SUMIFS(Sheet2!B:B,Sheet2!A:A,Sheet1!A307)</f>
      </c>
      <c r="F307" s="14">
        <f>B307-C307</f>
      </c>
      <c r="G307" s="12"/>
      <c r="H307" s="13"/>
    </row>
    <row x14ac:dyDescent="0.25" r="308" customHeight="1" ht="18.75">
      <c r="A308" s="9">
        <v>45462</v>
      </c>
      <c r="B308" s="14">
        <f>COUNTIFS(Table1[Date],Sheet1!$A308,Table1[Sentiment V1],Sheet1!B$1)</f>
      </c>
      <c r="C308" s="14">
        <f>COUNTIFS(Table1[Date],Sheet1!$A308,Table1[Sentiment V1],Sheet1!C$1)</f>
      </c>
      <c r="D308" s="14">
        <f>COUNTIFS(Table1[Date],Sheet1!$A308,Table1[Sentiment V1],Sheet1!D$1)</f>
      </c>
      <c r="E308" s="16">
        <f>SUMIFS(Sheet2!B:B,Sheet2!A:A,Sheet1!A308)</f>
      </c>
      <c r="F308" s="14">
        <f>B308-C308</f>
      </c>
      <c r="G308" s="12"/>
      <c r="H308" s="13"/>
    </row>
    <row x14ac:dyDescent="0.25" r="309" customHeight="1" ht="18.75">
      <c r="A309" s="9">
        <v>45461</v>
      </c>
      <c r="B309" s="14">
        <f>COUNTIFS(Table1[Date],Sheet1!$A309,Table1[Sentiment V1],Sheet1!B$1)</f>
      </c>
      <c r="C309" s="14">
        <f>COUNTIFS(Table1[Date],Sheet1!$A309,Table1[Sentiment V1],Sheet1!C$1)</f>
      </c>
      <c r="D309" s="14">
        <f>COUNTIFS(Table1[Date],Sheet1!$A309,Table1[Sentiment V1],Sheet1!D$1)</f>
      </c>
      <c r="E309" s="16">
        <f>SUMIFS(Sheet2!B:B,Sheet2!A:A,Sheet1!A309)</f>
      </c>
      <c r="F309" s="14">
        <f>B309-C309</f>
      </c>
      <c r="G309" s="12"/>
      <c r="H309" s="13"/>
    </row>
    <row x14ac:dyDescent="0.25" r="310" customHeight="1" ht="18.75">
      <c r="A310" s="9">
        <v>45460</v>
      </c>
      <c r="B310" s="14">
        <f>COUNTIFS(Table1[Date],Sheet1!$A310,Table1[Sentiment V1],Sheet1!B$1)</f>
      </c>
      <c r="C310" s="14">
        <f>COUNTIFS(Table1[Date],Sheet1!$A310,Table1[Sentiment V1],Sheet1!C$1)</f>
      </c>
      <c r="D310" s="14">
        <f>COUNTIFS(Table1[Date],Sheet1!$A310,Table1[Sentiment V1],Sheet1!D$1)</f>
      </c>
      <c r="E310" s="16">
        <f>SUMIFS(Sheet2!B:B,Sheet2!A:A,Sheet1!A310)</f>
      </c>
      <c r="F310" s="14">
        <f>B310-C310</f>
      </c>
      <c r="G310" s="12"/>
      <c r="H310" s="13"/>
    </row>
    <row x14ac:dyDescent="0.25" r="311" customHeight="1" ht="18.75" hidden="1">
      <c r="A311" s="9">
        <v>45459</v>
      </c>
      <c r="B311" s="14">
        <f>COUNTIFS(Table1[Date],Sheet1!$A311,Table1[Sentiment V1],Sheet1!B$1)</f>
      </c>
      <c r="C311" s="14">
        <f>COUNTIFS(Table1[Date],Sheet1!$A311,Table1[Sentiment V1],Sheet1!C$1)</f>
      </c>
      <c r="D311" s="14">
        <f>COUNTIFS(Table1[Date],Sheet1!$A311,Table1[Sentiment V1],Sheet1!D$1)</f>
      </c>
      <c r="E311" s="15">
        <f>SUMIFS(Sheet2!B:B,Sheet2!A:A,Sheet1!A311)</f>
      </c>
      <c r="F311" s="14">
        <f>B311-C311</f>
      </c>
      <c r="G311" s="12"/>
      <c r="H311" s="13"/>
    </row>
    <row x14ac:dyDescent="0.25" r="312" customHeight="1" ht="18.75">
      <c r="A312" s="9">
        <v>45457</v>
      </c>
      <c r="B312" s="14">
        <f>COUNTIFS(Table1[Date],Sheet1!$A312,Table1[Sentiment V1],Sheet1!B$1)</f>
      </c>
      <c r="C312" s="14">
        <f>COUNTIFS(Table1[Date],Sheet1!$A312,Table1[Sentiment V1],Sheet1!C$1)</f>
      </c>
      <c r="D312" s="14">
        <f>COUNTIFS(Table1[Date],Sheet1!$A312,Table1[Sentiment V1],Sheet1!D$1)</f>
      </c>
      <c r="E312" s="16">
        <f>SUMIFS(Sheet2!B:B,Sheet2!A:A,Sheet1!A312)</f>
      </c>
      <c r="F312" s="14">
        <f>B312-C312</f>
      </c>
      <c r="G312" s="12"/>
      <c r="H312" s="13"/>
    </row>
    <row x14ac:dyDescent="0.25" r="313" customHeight="1" ht="18.75">
      <c r="A313" s="9">
        <v>45456</v>
      </c>
      <c r="B313" s="14">
        <f>COUNTIFS(Table1[Date],Sheet1!$A313,Table1[Sentiment V1],Sheet1!B$1)</f>
      </c>
      <c r="C313" s="14">
        <f>COUNTIFS(Table1[Date],Sheet1!$A313,Table1[Sentiment V1],Sheet1!C$1)</f>
      </c>
      <c r="D313" s="14">
        <f>COUNTIFS(Table1[Date],Sheet1!$A313,Table1[Sentiment V1],Sheet1!D$1)</f>
      </c>
      <c r="E313" s="16">
        <f>SUMIFS(Sheet2!B:B,Sheet2!A:A,Sheet1!A313)</f>
      </c>
      <c r="F313" s="14">
        <f>B313-C313</f>
      </c>
      <c r="G313" s="12"/>
      <c r="H313" s="13"/>
    </row>
    <row x14ac:dyDescent="0.25" r="314" customHeight="1" ht="18.75">
      <c r="A314" s="9">
        <v>45455</v>
      </c>
      <c r="B314" s="14">
        <f>COUNTIFS(Table1[Date],Sheet1!$A314,Table1[Sentiment V1],Sheet1!B$1)</f>
      </c>
      <c r="C314" s="14">
        <f>COUNTIFS(Table1[Date],Sheet1!$A314,Table1[Sentiment V1],Sheet1!C$1)</f>
      </c>
      <c r="D314" s="14">
        <f>COUNTIFS(Table1[Date],Sheet1!$A314,Table1[Sentiment V1],Sheet1!D$1)</f>
      </c>
      <c r="E314" s="16">
        <f>SUMIFS(Sheet2!B:B,Sheet2!A:A,Sheet1!A314)</f>
      </c>
      <c r="F314" s="14">
        <f>B314-C314</f>
      </c>
      <c r="G314" s="12"/>
      <c r="H314" s="13"/>
    </row>
    <row x14ac:dyDescent="0.25" r="315" customHeight="1" ht="18.75">
      <c r="A315" s="9">
        <v>45454</v>
      </c>
      <c r="B315" s="14">
        <f>COUNTIFS(Table1[Date],Sheet1!$A315,Table1[Sentiment V1],Sheet1!B$1)</f>
      </c>
      <c r="C315" s="14">
        <f>COUNTIFS(Table1[Date],Sheet1!$A315,Table1[Sentiment V1],Sheet1!C$1)</f>
      </c>
      <c r="D315" s="14">
        <f>COUNTIFS(Table1[Date],Sheet1!$A315,Table1[Sentiment V1],Sheet1!D$1)</f>
      </c>
      <c r="E315" s="16">
        <f>SUMIFS(Sheet2!B:B,Sheet2!A:A,Sheet1!A315)</f>
      </c>
      <c r="F315" s="14">
        <f>B315-C315</f>
      </c>
      <c r="G315" s="12"/>
      <c r="H315" s="13"/>
    </row>
    <row x14ac:dyDescent="0.25" r="316" customHeight="1" ht="18.75">
      <c r="A316" s="9">
        <v>45453</v>
      </c>
      <c r="B316" s="14">
        <f>COUNTIFS(Table1[Date],Sheet1!$A316,Table1[Sentiment V1],Sheet1!B$1)</f>
      </c>
      <c r="C316" s="14">
        <f>COUNTIFS(Table1[Date],Sheet1!$A316,Table1[Sentiment V1],Sheet1!C$1)</f>
      </c>
      <c r="D316" s="14">
        <f>COUNTIFS(Table1[Date],Sheet1!$A316,Table1[Sentiment V1],Sheet1!D$1)</f>
      </c>
      <c r="E316" s="16">
        <f>SUMIFS(Sheet2!B:B,Sheet2!A:A,Sheet1!A316)</f>
      </c>
      <c r="F316" s="14">
        <f>B316-C316</f>
      </c>
      <c r="G316" s="12"/>
      <c r="H316" s="13"/>
    </row>
    <row x14ac:dyDescent="0.25" r="317" customHeight="1" ht="18.75">
      <c r="A317" s="9">
        <v>45449</v>
      </c>
      <c r="B317" s="14">
        <f>COUNTIFS(Table1[Date],Sheet1!$A317,Table1[Sentiment V1],Sheet1!B$1)</f>
      </c>
      <c r="C317" s="14">
        <f>COUNTIFS(Table1[Date],Sheet1!$A317,Table1[Sentiment V1],Sheet1!C$1)</f>
      </c>
      <c r="D317" s="14">
        <f>COUNTIFS(Table1[Date],Sheet1!$A317,Table1[Sentiment V1],Sheet1!D$1)</f>
      </c>
      <c r="E317" s="16">
        <f>SUMIFS(Sheet2!B:B,Sheet2!A:A,Sheet1!A317)</f>
      </c>
      <c r="F317" s="14">
        <f>B317-C317</f>
      </c>
      <c r="G317" s="12"/>
      <c r="H317" s="13"/>
    </row>
    <row x14ac:dyDescent="0.25" r="318" customHeight="1" ht="18.75">
      <c r="A318" s="9">
        <v>45447</v>
      </c>
      <c r="B318" s="14">
        <f>COUNTIFS(Table1[Date],Sheet1!$A318,Table1[Sentiment V1],Sheet1!B$1)</f>
      </c>
      <c r="C318" s="14">
        <f>COUNTIFS(Table1[Date],Sheet1!$A318,Table1[Sentiment V1],Sheet1!C$1)</f>
      </c>
      <c r="D318" s="14">
        <f>COUNTIFS(Table1[Date],Sheet1!$A318,Table1[Sentiment V1],Sheet1!D$1)</f>
      </c>
      <c r="E318" s="16">
        <f>SUMIFS(Sheet2!B:B,Sheet2!A:A,Sheet1!A318)</f>
      </c>
      <c r="F318" s="14">
        <f>B318-C318</f>
      </c>
      <c r="G318" s="12"/>
      <c r="H318" s="13"/>
    </row>
    <row x14ac:dyDescent="0.25" r="319" customHeight="1" ht="18.75">
      <c r="A319" s="9">
        <v>45446</v>
      </c>
      <c r="B319" s="14">
        <f>COUNTIFS(Table1[Date],Sheet1!$A319,Table1[Sentiment V1],Sheet1!B$1)</f>
      </c>
      <c r="C319" s="14">
        <f>COUNTIFS(Table1[Date],Sheet1!$A319,Table1[Sentiment V1],Sheet1!C$1)</f>
      </c>
      <c r="D319" s="14">
        <f>COUNTIFS(Table1[Date],Sheet1!$A319,Table1[Sentiment V1],Sheet1!D$1)</f>
      </c>
      <c r="E319" s="16">
        <f>SUMIFS(Sheet2!B:B,Sheet2!A:A,Sheet1!A319)</f>
      </c>
      <c r="F319" s="14">
        <f>B319-C319</f>
      </c>
      <c r="G319" s="12"/>
      <c r="H319" s="13"/>
    </row>
    <row x14ac:dyDescent="0.25" r="320" customHeight="1" ht="18.75">
      <c r="A320" s="9">
        <v>45443</v>
      </c>
      <c r="B320" s="14">
        <f>COUNTIFS(Table1[Date],Sheet1!$A320,Table1[Sentiment V1],Sheet1!B$1)</f>
      </c>
      <c r="C320" s="14">
        <f>COUNTIFS(Table1[Date],Sheet1!$A320,Table1[Sentiment V1],Sheet1!C$1)</f>
      </c>
      <c r="D320" s="14">
        <f>COUNTIFS(Table1[Date],Sheet1!$A320,Table1[Sentiment V1],Sheet1!D$1)</f>
      </c>
      <c r="E320" s="16">
        <f>SUMIFS(Sheet2!B:B,Sheet2!A:A,Sheet1!A320)</f>
      </c>
      <c r="F320" s="14">
        <f>B320-C320</f>
      </c>
      <c r="G320" s="12"/>
      <c r="H320" s="13"/>
    </row>
    <row x14ac:dyDescent="0.25" r="321" customHeight="1" ht="18.75">
      <c r="A321" s="9">
        <v>45442</v>
      </c>
      <c r="B321" s="14">
        <f>COUNTIFS(Table1[Date],Sheet1!$A321,Table1[Sentiment V1],Sheet1!B$1)</f>
      </c>
      <c r="C321" s="14">
        <f>COUNTIFS(Table1[Date],Sheet1!$A321,Table1[Sentiment V1],Sheet1!C$1)</f>
      </c>
      <c r="D321" s="14">
        <f>COUNTIFS(Table1[Date],Sheet1!$A321,Table1[Sentiment V1],Sheet1!D$1)</f>
      </c>
      <c r="E321" s="16">
        <f>SUMIFS(Sheet2!B:B,Sheet2!A:A,Sheet1!A321)</f>
      </c>
      <c r="F321" s="14">
        <f>B321-C321</f>
      </c>
      <c r="G321" s="12"/>
      <c r="H321" s="13"/>
    </row>
    <row x14ac:dyDescent="0.25" r="322" customHeight="1" ht="18.75">
      <c r="A322" s="9">
        <v>45440</v>
      </c>
      <c r="B322" s="14">
        <f>COUNTIFS(Table1[Date],Sheet1!$A322,Table1[Sentiment V1],Sheet1!B$1)</f>
      </c>
      <c r="C322" s="14">
        <f>COUNTIFS(Table1[Date],Sheet1!$A322,Table1[Sentiment V1],Sheet1!C$1)</f>
      </c>
      <c r="D322" s="14">
        <f>COUNTIFS(Table1[Date],Sheet1!$A322,Table1[Sentiment V1],Sheet1!D$1)</f>
      </c>
      <c r="E322" s="16">
        <f>SUMIFS(Sheet2!B:B,Sheet2!A:A,Sheet1!A322)</f>
      </c>
      <c r="F322" s="14">
        <f>B322-C322</f>
      </c>
      <c r="G322" s="12"/>
      <c r="H322" s="13"/>
    </row>
    <row x14ac:dyDescent="0.25" r="323" customHeight="1" ht="18.75">
      <c r="A323" s="9">
        <v>45436</v>
      </c>
      <c r="B323" s="14">
        <f>COUNTIFS(Table1[Date],Sheet1!$A323,Table1[Sentiment V1],Sheet1!B$1)</f>
      </c>
      <c r="C323" s="14">
        <f>COUNTIFS(Table1[Date],Sheet1!$A323,Table1[Sentiment V1],Sheet1!C$1)</f>
      </c>
      <c r="D323" s="14">
        <f>COUNTIFS(Table1[Date],Sheet1!$A323,Table1[Sentiment V1],Sheet1!D$1)</f>
      </c>
      <c r="E323" s="16">
        <f>SUMIFS(Sheet2!B:B,Sheet2!A:A,Sheet1!A323)</f>
      </c>
      <c r="F323" s="14">
        <f>B323-C323</f>
      </c>
      <c r="G323" s="12"/>
      <c r="H323" s="13"/>
    </row>
    <row x14ac:dyDescent="0.25" r="324" customHeight="1" ht="18.75">
      <c r="A324" s="9">
        <v>45434</v>
      </c>
      <c r="B324" s="14">
        <f>COUNTIFS(Table1[Date],Sheet1!$A324,Table1[Sentiment V1],Sheet1!B$1)</f>
      </c>
      <c r="C324" s="14">
        <f>COUNTIFS(Table1[Date],Sheet1!$A324,Table1[Sentiment V1],Sheet1!C$1)</f>
      </c>
      <c r="D324" s="14">
        <f>COUNTIFS(Table1[Date],Sheet1!$A324,Table1[Sentiment V1],Sheet1!D$1)</f>
      </c>
      <c r="E324" s="16">
        <f>SUMIFS(Sheet2!B:B,Sheet2!A:A,Sheet1!A324)</f>
      </c>
      <c r="F324" s="14">
        <f>B324-C324</f>
      </c>
      <c r="G324" s="12"/>
      <c r="H324" s="13"/>
    </row>
    <row x14ac:dyDescent="0.25" r="325" customHeight="1" ht="18.75">
      <c r="A325" s="9">
        <v>45433</v>
      </c>
      <c r="B325" s="14">
        <f>COUNTIFS(Table1[Date],Sheet1!$A325,Table1[Sentiment V1],Sheet1!B$1)</f>
      </c>
      <c r="C325" s="14">
        <f>COUNTIFS(Table1[Date],Sheet1!$A325,Table1[Sentiment V1],Sheet1!C$1)</f>
      </c>
      <c r="D325" s="14">
        <f>COUNTIFS(Table1[Date],Sheet1!$A325,Table1[Sentiment V1],Sheet1!D$1)</f>
      </c>
      <c r="E325" s="16">
        <f>SUMIFS(Sheet2!B:B,Sheet2!A:A,Sheet1!A325)</f>
      </c>
      <c r="F325" s="14">
        <f>B325-C325</f>
      </c>
      <c r="G325" s="12"/>
      <c r="H325" s="13"/>
    </row>
    <row x14ac:dyDescent="0.25" r="326" customHeight="1" ht="18.75">
      <c r="A326" s="9">
        <v>45428</v>
      </c>
      <c r="B326" s="14">
        <f>COUNTIFS(Table1[Date],Sheet1!$A326,Table1[Sentiment V1],Sheet1!B$1)</f>
      </c>
      <c r="C326" s="14">
        <f>COUNTIFS(Table1[Date],Sheet1!$A326,Table1[Sentiment V1],Sheet1!C$1)</f>
      </c>
      <c r="D326" s="14">
        <f>COUNTIFS(Table1[Date],Sheet1!$A326,Table1[Sentiment V1],Sheet1!D$1)</f>
      </c>
      <c r="E326" s="16">
        <f>SUMIFS(Sheet2!B:B,Sheet2!A:A,Sheet1!A326)</f>
      </c>
      <c r="F326" s="14">
        <f>B326-C326</f>
      </c>
      <c r="G326" s="12"/>
      <c r="H326" s="13"/>
    </row>
    <row x14ac:dyDescent="0.25" r="327" customHeight="1" ht="18.75">
      <c r="A327" s="9">
        <v>45427</v>
      </c>
      <c r="B327" s="14">
        <f>COUNTIFS(Table1[Date],Sheet1!$A327,Table1[Sentiment V1],Sheet1!B$1)</f>
      </c>
      <c r="C327" s="14">
        <f>COUNTIFS(Table1[Date],Sheet1!$A327,Table1[Sentiment V1],Sheet1!C$1)</f>
      </c>
      <c r="D327" s="14">
        <f>COUNTIFS(Table1[Date],Sheet1!$A327,Table1[Sentiment V1],Sheet1!D$1)</f>
      </c>
      <c r="E327" s="16">
        <f>SUMIFS(Sheet2!B:B,Sheet2!A:A,Sheet1!A327)</f>
      </c>
      <c r="F327" s="14">
        <f>B327-C327</f>
      </c>
      <c r="G327" s="12"/>
      <c r="H327" s="13"/>
    </row>
    <row x14ac:dyDescent="0.25" r="328" customHeight="1" ht="18.75">
      <c r="A328" s="9">
        <v>45426</v>
      </c>
      <c r="B328" s="14">
        <f>COUNTIFS(Table1[Date],Sheet1!$A328,Table1[Sentiment V1],Sheet1!B$1)</f>
      </c>
      <c r="C328" s="14">
        <f>COUNTIFS(Table1[Date],Sheet1!$A328,Table1[Sentiment V1],Sheet1!C$1)</f>
      </c>
      <c r="D328" s="14">
        <f>COUNTIFS(Table1[Date],Sheet1!$A328,Table1[Sentiment V1],Sheet1!D$1)</f>
      </c>
      <c r="E328" s="16">
        <f>SUMIFS(Sheet2!B:B,Sheet2!A:A,Sheet1!A328)</f>
      </c>
      <c r="F328" s="14">
        <f>B328-C328</f>
      </c>
      <c r="G328" s="12"/>
      <c r="H328" s="13"/>
    </row>
    <row x14ac:dyDescent="0.25" r="329" customHeight="1" ht="18.75">
      <c r="A329" s="9">
        <v>45425</v>
      </c>
      <c r="B329" s="14">
        <f>COUNTIFS(Table1[Date],Sheet1!$A329,Table1[Sentiment V1],Sheet1!B$1)</f>
      </c>
      <c r="C329" s="14">
        <f>COUNTIFS(Table1[Date],Sheet1!$A329,Table1[Sentiment V1],Sheet1!C$1)</f>
      </c>
      <c r="D329" s="14">
        <f>COUNTIFS(Table1[Date],Sheet1!$A329,Table1[Sentiment V1],Sheet1!D$1)</f>
      </c>
      <c r="E329" s="16">
        <f>SUMIFS(Sheet2!B:B,Sheet2!A:A,Sheet1!A329)</f>
      </c>
      <c r="F329" s="14">
        <f>B329-C329</f>
      </c>
      <c r="G329" s="12"/>
      <c r="H329" s="13"/>
    </row>
    <row x14ac:dyDescent="0.25" r="330" customHeight="1" ht="18.75" hidden="1">
      <c r="A330" s="9">
        <v>45424</v>
      </c>
      <c r="B330" s="14">
        <f>COUNTIFS(Table1[Date],Sheet1!$A330,Table1[Sentiment V1],Sheet1!B$1)</f>
      </c>
      <c r="C330" s="14">
        <f>COUNTIFS(Table1[Date],Sheet1!$A330,Table1[Sentiment V1],Sheet1!C$1)</f>
      </c>
      <c r="D330" s="14">
        <f>COUNTIFS(Table1[Date],Sheet1!$A330,Table1[Sentiment V1],Sheet1!D$1)</f>
      </c>
      <c r="E330" s="15">
        <f>SUMIFS(Sheet2!B:B,Sheet2!A:A,Sheet1!A330)</f>
      </c>
      <c r="F330" s="14">
        <f>B330-C330</f>
      </c>
      <c r="G330" s="12"/>
      <c r="H330" s="13"/>
    </row>
    <row x14ac:dyDescent="0.25" r="331" customHeight="1" ht="18.75">
      <c r="A331" s="9">
        <v>45422</v>
      </c>
      <c r="B331" s="14">
        <f>COUNTIFS(Table1[Date],Sheet1!$A331,Table1[Sentiment V1],Sheet1!B$1)</f>
      </c>
      <c r="C331" s="14">
        <f>COUNTIFS(Table1[Date],Sheet1!$A331,Table1[Sentiment V1],Sheet1!C$1)</f>
      </c>
      <c r="D331" s="14">
        <f>COUNTIFS(Table1[Date],Sheet1!$A331,Table1[Sentiment V1],Sheet1!D$1)</f>
      </c>
      <c r="E331" s="16">
        <f>SUMIFS(Sheet2!B:B,Sheet2!A:A,Sheet1!A331)</f>
      </c>
      <c r="F331" s="14">
        <f>B331-C331</f>
      </c>
      <c r="G331" s="12"/>
      <c r="H331" s="13"/>
    </row>
    <row x14ac:dyDescent="0.25" r="332" customHeight="1" ht="18.75">
      <c r="A332" s="9">
        <v>45419</v>
      </c>
      <c r="B332" s="14">
        <f>COUNTIFS(Table1[Date],Sheet1!$A332,Table1[Sentiment V1],Sheet1!B$1)</f>
      </c>
      <c r="C332" s="14">
        <f>COUNTIFS(Table1[Date],Sheet1!$A332,Table1[Sentiment V1],Sheet1!C$1)</f>
      </c>
      <c r="D332" s="14">
        <f>COUNTIFS(Table1[Date],Sheet1!$A332,Table1[Sentiment V1],Sheet1!D$1)</f>
      </c>
      <c r="E332" s="16">
        <f>SUMIFS(Sheet2!B:B,Sheet2!A:A,Sheet1!A332)</f>
      </c>
      <c r="F332" s="14">
        <f>B332-C332</f>
      </c>
      <c r="G332" s="12"/>
      <c r="H332" s="13"/>
    </row>
    <row x14ac:dyDescent="0.25" r="333" customHeight="1" ht="18.75">
      <c r="A333" s="9">
        <v>45415</v>
      </c>
      <c r="B333" s="14">
        <f>COUNTIFS(Table1[Date],Sheet1!$A333,Table1[Sentiment V1],Sheet1!B$1)</f>
      </c>
      <c r="C333" s="14">
        <f>COUNTIFS(Table1[Date],Sheet1!$A333,Table1[Sentiment V1],Sheet1!C$1)</f>
      </c>
      <c r="D333" s="14">
        <f>COUNTIFS(Table1[Date],Sheet1!$A333,Table1[Sentiment V1],Sheet1!D$1)</f>
      </c>
      <c r="E333" s="16">
        <f>SUMIFS(Sheet2!B:B,Sheet2!A:A,Sheet1!A333)</f>
      </c>
      <c r="F333" s="14">
        <f>B333-C333</f>
      </c>
      <c r="G333" s="12"/>
      <c r="H333" s="13"/>
    </row>
    <row x14ac:dyDescent="0.25" r="334" customHeight="1" ht="18.75">
      <c r="A334" s="9">
        <v>45414</v>
      </c>
      <c r="B334" s="14">
        <f>COUNTIFS(Table1[Date],Sheet1!$A334,Table1[Sentiment V1],Sheet1!B$1)</f>
      </c>
      <c r="C334" s="14">
        <f>COUNTIFS(Table1[Date],Sheet1!$A334,Table1[Sentiment V1],Sheet1!C$1)</f>
      </c>
      <c r="D334" s="14">
        <f>COUNTIFS(Table1[Date],Sheet1!$A334,Table1[Sentiment V1],Sheet1!D$1)</f>
      </c>
      <c r="E334" s="16">
        <f>SUMIFS(Sheet2!B:B,Sheet2!A:A,Sheet1!A334)</f>
      </c>
      <c r="F334" s="14">
        <f>B334-C334</f>
      </c>
      <c r="G334" s="12"/>
      <c r="H334" s="13"/>
    </row>
    <row x14ac:dyDescent="0.25" r="335" customHeight="1" ht="18.75">
      <c r="A335" s="9">
        <v>45413</v>
      </c>
      <c r="B335" s="14">
        <f>COUNTIFS(Table1[Date],Sheet1!$A335,Table1[Sentiment V1],Sheet1!B$1)</f>
      </c>
      <c r="C335" s="14">
        <f>COUNTIFS(Table1[Date],Sheet1!$A335,Table1[Sentiment V1],Sheet1!C$1)</f>
      </c>
      <c r="D335" s="14">
        <f>COUNTIFS(Table1[Date],Sheet1!$A335,Table1[Sentiment V1],Sheet1!D$1)</f>
      </c>
      <c r="E335" s="16">
        <f>SUMIFS(Sheet2!B:B,Sheet2!A:A,Sheet1!A335)</f>
      </c>
      <c r="F335" s="14">
        <f>B335-C335</f>
      </c>
      <c r="G335" s="12"/>
      <c r="H335" s="13"/>
    </row>
    <row x14ac:dyDescent="0.25" r="336" customHeight="1" ht="18.75">
      <c r="A336" s="9">
        <v>45412</v>
      </c>
      <c r="B336" s="14">
        <f>COUNTIFS(Table1[Date],Sheet1!$A336,Table1[Sentiment V1],Sheet1!B$1)</f>
      </c>
      <c r="C336" s="14">
        <f>COUNTIFS(Table1[Date],Sheet1!$A336,Table1[Sentiment V1],Sheet1!C$1)</f>
      </c>
      <c r="D336" s="14">
        <f>COUNTIFS(Table1[Date],Sheet1!$A336,Table1[Sentiment V1],Sheet1!D$1)</f>
      </c>
      <c r="E336" s="16">
        <f>SUMIFS(Sheet2!B:B,Sheet2!A:A,Sheet1!A336)</f>
      </c>
      <c r="F336" s="14">
        <f>B336-C336</f>
      </c>
      <c r="G336" s="12"/>
      <c r="H336" s="13"/>
    </row>
    <row x14ac:dyDescent="0.25" r="337" customHeight="1" ht="18.75">
      <c r="A337" s="9">
        <v>45411</v>
      </c>
      <c r="B337" s="14">
        <f>COUNTIFS(Table1[Date],Sheet1!$A337,Table1[Sentiment V1],Sheet1!B$1)</f>
      </c>
      <c r="C337" s="14">
        <f>COUNTIFS(Table1[Date],Sheet1!$A337,Table1[Sentiment V1],Sheet1!C$1)</f>
      </c>
      <c r="D337" s="14">
        <f>COUNTIFS(Table1[Date],Sheet1!$A337,Table1[Sentiment V1],Sheet1!D$1)</f>
      </c>
      <c r="E337" s="16">
        <f>SUMIFS(Sheet2!B:B,Sheet2!A:A,Sheet1!A337)</f>
      </c>
      <c r="F337" s="14">
        <f>B337-C337</f>
      </c>
      <c r="G337" s="12"/>
      <c r="H337" s="13"/>
    </row>
    <row x14ac:dyDescent="0.25" r="338" customHeight="1" ht="18.75">
      <c r="A338" s="9">
        <v>45405</v>
      </c>
      <c r="B338" s="14">
        <f>COUNTIFS(Table1[Date],Sheet1!$A338,Table1[Sentiment V1],Sheet1!B$1)</f>
      </c>
      <c r="C338" s="14">
        <f>COUNTIFS(Table1[Date],Sheet1!$A338,Table1[Sentiment V1],Sheet1!C$1)</f>
      </c>
      <c r="D338" s="14">
        <f>COUNTIFS(Table1[Date],Sheet1!$A338,Table1[Sentiment V1],Sheet1!D$1)</f>
      </c>
      <c r="E338" s="16">
        <f>SUMIFS(Sheet2!B:B,Sheet2!A:A,Sheet1!A338)</f>
      </c>
      <c r="F338" s="14">
        <f>B338-C338</f>
      </c>
      <c r="G338" s="12"/>
      <c r="H338" s="13"/>
    </row>
    <row x14ac:dyDescent="0.25" r="339" customHeight="1" ht="18.75">
      <c r="A339" s="9">
        <v>45404</v>
      </c>
      <c r="B339" s="14">
        <f>COUNTIFS(Table1[Date],Sheet1!$A339,Table1[Sentiment V1],Sheet1!B$1)</f>
      </c>
      <c r="C339" s="14">
        <f>COUNTIFS(Table1[Date],Sheet1!$A339,Table1[Sentiment V1],Sheet1!C$1)</f>
      </c>
      <c r="D339" s="14">
        <f>COUNTIFS(Table1[Date],Sheet1!$A339,Table1[Sentiment V1],Sheet1!D$1)</f>
      </c>
      <c r="E339" s="15">
        <f>SUMIFS(Sheet2!B:B,Sheet2!A:A,Sheet1!A339)</f>
      </c>
      <c r="F339" s="14">
        <f>B339-C339</f>
      </c>
      <c r="G339" s="12"/>
      <c r="H339" s="13"/>
    </row>
    <row x14ac:dyDescent="0.25" r="340" customHeight="1" ht="18.75">
      <c r="A340" s="9">
        <v>45401</v>
      </c>
      <c r="B340" s="14">
        <f>COUNTIFS(Table1[Date],Sheet1!$A340,Table1[Sentiment V1],Sheet1!B$1)</f>
      </c>
      <c r="C340" s="14">
        <f>COUNTIFS(Table1[Date],Sheet1!$A340,Table1[Sentiment V1],Sheet1!C$1)</f>
      </c>
      <c r="D340" s="14">
        <f>COUNTIFS(Table1[Date],Sheet1!$A340,Table1[Sentiment V1],Sheet1!D$1)</f>
      </c>
      <c r="E340" s="16">
        <f>SUMIFS(Sheet2!B:B,Sheet2!A:A,Sheet1!A340)</f>
      </c>
      <c r="F340" s="14">
        <f>B340-C340</f>
      </c>
      <c r="G340" s="12"/>
      <c r="H340" s="13"/>
    </row>
    <row x14ac:dyDescent="0.25" r="341" customHeight="1" ht="18.75">
      <c r="A341" s="9">
        <v>45400</v>
      </c>
      <c r="B341" s="14">
        <f>COUNTIFS(Table1[Date],Sheet1!$A341,Table1[Sentiment V1],Sheet1!B$1)</f>
      </c>
      <c r="C341" s="14">
        <f>COUNTIFS(Table1[Date],Sheet1!$A341,Table1[Sentiment V1],Sheet1!C$1)</f>
      </c>
      <c r="D341" s="14">
        <f>COUNTIFS(Table1[Date],Sheet1!$A341,Table1[Sentiment V1],Sheet1!D$1)</f>
      </c>
      <c r="E341" s="16">
        <f>SUMIFS(Sheet2!B:B,Sheet2!A:A,Sheet1!A341)</f>
      </c>
      <c r="F341" s="14">
        <f>B341-C341</f>
      </c>
      <c r="G341" s="12"/>
      <c r="H341" s="13"/>
    </row>
    <row x14ac:dyDescent="0.25" r="342" customHeight="1" ht="18.75">
      <c r="A342" s="9">
        <v>45399</v>
      </c>
      <c r="B342" s="14">
        <f>COUNTIFS(Table1[Date],Sheet1!$A342,Table1[Sentiment V1],Sheet1!B$1)</f>
      </c>
      <c r="C342" s="14">
        <f>COUNTIFS(Table1[Date],Sheet1!$A342,Table1[Sentiment V1],Sheet1!C$1)</f>
      </c>
      <c r="D342" s="14">
        <f>COUNTIFS(Table1[Date],Sheet1!$A342,Table1[Sentiment V1],Sheet1!D$1)</f>
      </c>
      <c r="E342" s="16">
        <f>SUMIFS(Sheet2!B:B,Sheet2!A:A,Sheet1!A342)</f>
      </c>
      <c r="F342" s="14">
        <f>B342-C342</f>
      </c>
      <c r="G342" s="12"/>
      <c r="H342" s="13"/>
    </row>
    <row x14ac:dyDescent="0.25" r="343" customHeight="1" ht="18.75">
      <c r="A343" s="9">
        <v>45397</v>
      </c>
      <c r="B343" s="14">
        <f>COUNTIFS(Table1[Date],Sheet1!$A343,Table1[Sentiment V1],Sheet1!B$1)</f>
      </c>
      <c r="C343" s="14">
        <f>COUNTIFS(Table1[Date],Sheet1!$A343,Table1[Sentiment V1],Sheet1!C$1)</f>
      </c>
      <c r="D343" s="14">
        <f>COUNTIFS(Table1[Date],Sheet1!$A343,Table1[Sentiment V1],Sheet1!D$1)</f>
      </c>
      <c r="E343" s="16">
        <f>SUMIFS(Sheet2!B:B,Sheet2!A:A,Sheet1!A343)</f>
      </c>
      <c r="F343" s="14">
        <f>B343-C343</f>
      </c>
      <c r="G343" s="12"/>
      <c r="H343" s="13"/>
    </row>
    <row x14ac:dyDescent="0.25" r="344" customHeight="1" ht="18.75" hidden="1">
      <c r="A344" s="9">
        <v>45396</v>
      </c>
      <c r="B344" s="14">
        <f>COUNTIFS(Table1[Date],Sheet1!$A344,Table1[Sentiment V1],Sheet1!B$1)</f>
      </c>
      <c r="C344" s="14">
        <f>COUNTIFS(Table1[Date],Sheet1!$A344,Table1[Sentiment V1],Sheet1!C$1)</f>
      </c>
      <c r="D344" s="14">
        <f>COUNTIFS(Table1[Date],Sheet1!$A344,Table1[Sentiment V1],Sheet1!D$1)</f>
      </c>
      <c r="E344" s="15">
        <f>SUMIFS(Sheet2!B:B,Sheet2!A:A,Sheet1!A344)</f>
      </c>
      <c r="F344" s="14">
        <f>B344-C344</f>
      </c>
      <c r="G344" s="12"/>
      <c r="H344" s="13"/>
    </row>
    <row x14ac:dyDescent="0.25" r="345" customHeight="1" ht="18.75">
      <c r="A345" s="9">
        <v>45394</v>
      </c>
      <c r="B345" s="14">
        <f>COUNTIFS(Table1[Date],Sheet1!$A345,Table1[Sentiment V1],Sheet1!B$1)</f>
      </c>
      <c r="C345" s="14">
        <f>COUNTIFS(Table1[Date],Sheet1!$A345,Table1[Sentiment V1],Sheet1!C$1)</f>
      </c>
      <c r="D345" s="14">
        <f>COUNTIFS(Table1[Date],Sheet1!$A345,Table1[Sentiment V1],Sheet1!D$1)</f>
      </c>
      <c r="E345" s="16">
        <f>SUMIFS(Sheet2!B:B,Sheet2!A:A,Sheet1!A345)</f>
      </c>
      <c r="F345" s="14">
        <f>B345-C345</f>
      </c>
      <c r="G345" s="12"/>
      <c r="H345" s="13"/>
    </row>
    <row x14ac:dyDescent="0.25" r="346" customHeight="1" ht="18.75">
      <c r="A346" s="9">
        <v>45393</v>
      </c>
      <c r="B346" s="14">
        <f>COUNTIFS(Table1[Date],Sheet1!$A346,Table1[Sentiment V1],Sheet1!B$1)</f>
      </c>
      <c r="C346" s="14">
        <f>COUNTIFS(Table1[Date],Sheet1!$A346,Table1[Sentiment V1],Sheet1!C$1)</f>
      </c>
      <c r="D346" s="14">
        <f>COUNTIFS(Table1[Date],Sheet1!$A346,Table1[Sentiment V1],Sheet1!D$1)</f>
      </c>
      <c r="E346" s="16">
        <f>SUMIFS(Sheet2!B:B,Sheet2!A:A,Sheet1!A346)</f>
      </c>
      <c r="F346" s="14">
        <f>B346-C346</f>
      </c>
      <c r="G346" s="12"/>
      <c r="H346" s="13"/>
    </row>
    <row x14ac:dyDescent="0.25" r="347" customHeight="1" ht="18.75">
      <c r="A347" s="9">
        <v>45391</v>
      </c>
      <c r="B347" s="14">
        <f>COUNTIFS(Table1[Date],Sheet1!$A347,Table1[Sentiment V1],Sheet1!B$1)</f>
      </c>
      <c r="C347" s="14">
        <f>COUNTIFS(Table1[Date],Sheet1!$A347,Table1[Sentiment V1],Sheet1!C$1)</f>
      </c>
      <c r="D347" s="14">
        <f>COUNTIFS(Table1[Date],Sheet1!$A347,Table1[Sentiment V1],Sheet1!D$1)</f>
      </c>
      <c r="E347" s="16">
        <f>SUMIFS(Sheet2!B:B,Sheet2!A:A,Sheet1!A347)</f>
      </c>
      <c r="F347" s="14">
        <f>B347-C347</f>
      </c>
      <c r="G347" s="12"/>
      <c r="H347" s="13"/>
    </row>
    <row x14ac:dyDescent="0.25" r="348" customHeight="1" ht="18.75">
      <c r="A348" s="9">
        <v>45387</v>
      </c>
      <c r="B348" s="14">
        <f>COUNTIFS(Table1[Date],Sheet1!$A348,Table1[Sentiment V1],Sheet1!B$1)</f>
      </c>
      <c r="C348" s="14">
        <f>COUNTIFS(Table1[Date],Sheet1!$A348,Table1[Sentiment V1],Sheet1!C$1)</f>
      </c>
      <c r="D348" s="14">
        <f>COUNTIFS(Table1[Date],Sheet1!$A348,Table1[Sentiment V1],Sheet1!D$1)</f>
      </c>
      <c r="E348" s="16">
        <f>SUMIFS(Sheet2!B:B,Sheet2!A:A,Sheet1!A348)</f>
      </c>
      <c r="F348" s="14">
        <f>B348-C348</f>
      </c>
      <c r="G348" s="12"/>
      <c r="H348" s="13"/>
    </row>
    <row x14ac:dyDescent="0.25" r="349" customHeight="1" ht="18.75">
      <c r="A349" s="9">
        <v>45386</v>
      </c>
      <c r="B349" s="14">
        <f>COUNTIFS(Table1[Date],Sheet1!$A349,Table1[Sentiment V1],Sheet1!B$1)</f>
      </c>
      <c r="C349" s="14">
        <f>COUNTIFS(Table1[Date],Sheet1!$A349,Table1[Sentiment V1],Sheet1!C$1)</f>
      </c>
      <c r="D349" s="14">
        <f>COUNTIFS(Table1[Date],Sheet1!$A349,Table1[Sentiment V1],Sheet1!D$1)</f>
      </c>
      <c r="E349" s="16">
        <f>SUMIFS(Sheet2!B:B,Sheet2!A:A,Sheet1!A349)</f>
      </c>
      <c r="F349" s="14">
        <f>B349-C349</f>
      </c>
      <c r="G349" s="12"/>
      <c r="H349" s="13"/>
    </row>
    <row x14ac:dyDescent="0.25" r="350" customHeight="1" ht="18.75">
      <c r="A350" s="9">
        <v>45385</v>
      </c>
      <c r="B350" s="14">
        <f>COUNTIFS(Table1[Date],Sheet1!$A350,Table1[Sentiment V1],Sheet1!B$1)</f>
      </c>
      <c r="C350" s="14">
        <f>COUNTIFS(Table1[Date],Sheet1!$A350,Table1[Sentiment V1],Sheet1!C$1)</f>
      </c>
      <c r="D350" s="14">
        <f>COUNTIFS(Table1[Date],Sheet1!$A350,Table1[Sentiment V1],Sheet1!D$1)</f>
      </c>
      <c r="E350" s="16">
        <f>SUMIFS(Sheet2!B:B,Sheet2!A:A,Sheet1!A350)</f>
      </c>
      <c r="F350" s="14">
        <f>B350-C350</f>
      </c>
      <c r="G350" s="12"/>
      <c r="H350" s="13"/>
    </row>
    <row x14ac:dyDescent="0.25" r="351" customHeight="1" ht="18.75">
      <c r="A351" s="9">
        <v>45384</v>
      </c>
      <c r="B351" s="14">
        <f>COUNTIFS(Table1[Date],Sheet1!$A351,Table1[Sentiment V1],Sheet1!B$1)</f>
      </c>
      <c r="C351" s="14">
        <f>COUNTIFS(Table1[Date],Sheet1!$A351,Table1[Sentiment V1],Sheet1!C$1)</f>
      </c>
      <c r="D351" s="14">
        <f>COUNTIFS(Table1[Date],Sheet1!$A351,Table1[Sentiment V1],Sheet1!D$1)</f>
      </c>
      <c r="E351" s="16">
        <f>SUMIFS(Sheet2!B:B,Sheet2!A:A,Sheet1!A351)</f>
      </c>
      <c r="F351" s="14">
        <f>B351-C351</f>
      </c>
      <c r="G351" s="12"/>
      <c r="H351" s="13"/>
    </row>
    <row x14ac:dyDescent="0.25" r="352" customHeight="1" ht="18.75">
      <c r="A352" s="9">
        <v>45383</v>
      </c>
      <c r="B352" s="14">
        <f>COUNTIFS(Table1[Date],Sheet1!$A352,Table1[Sentiment V1],Sheet1!B$1)</f>
      </c>
      <c r="C352" s="14">
        <f>COUNTIFS(Table1[Date],Sheet1!$A352,Table1[Sentiment V1],Sheet1!C$1)</f>
      </c>
      <c r="D352" s="14">
        <f>COUNTIFS(Table1[Date],Sheet1!$A352,Table1[Sentiment V1],Sheet1!D$1)</f>
      </c>
      <c r="E352" s="16">
        <f>SUMIFS(Sheet2!B:B,Sheet2!A:A,Sheet1!A352)</f>
      </c>
      <c r="F352" s="14">
        <f>B352-C352</f>
      </c>
      <c r="G352" s="12"/>
      <c r="H352" s="13"/>
    </row>
    <row x14ac:dyDescent="0.25" r="353" customHeight="1" ht="18.75" hidden="1">
      <c r="A353" s="9">
        <v>45381</v>
      </c>
      <c r="B353" s="14">
        <f>COUNTIFS(Table1[Date],Sheet1!$A353,Table1[Sentiment V1],Sheet1!B$1)</f>
      </c>
      <c r="C353" s="14">
        <f>COUNTIFS(Table1[Date],Sheet1!$A353,Table1[Sentiment V1],Sheet1!C$1)</f>
      </c>
      <c r="D353" s="14">
        <f>COUNTIFS(Table1[Date],Sheet1!$A353,Table1[Sentiment V1],Sheet1!D$1)</f>
      </c>
      <c r="E353" s="15">
        <f>SUMIFS(Sheet2!B:B,Sheet2!A:A,Sheet1!A353)</f>
      </c>
      <c r="F353" s="14">
        <f>B353-C353</f>
      </c>
      <c r="G353" s="12"/>
      <c r="H353" s="13"/>
    </row>
    <row x14ac:dyDescent="0.25" r="354" customHeight="1" ht="18.75">
      <c r="A354" s="9">
        <v>45379</v>
      </c>
      <c r="B354" s="14">
        <f>COUNTIFS(Table1[Date],Sheet1!$A354,Table1[Sentiment V1],Sheet1!B$1)</f>
      </c>
      <c r="C354" s="14">
        <f>COUNTIFS(Table1[Date],Sheet1!$A354,Table1[Sentiment V1],Sheet1!C$1)</f>
      </c>
      <c r="D354" s="14">
        <f>COUNTIFS(Table1[Date],Sheet1!$A354,Table1[Sentiment V1],Sheet1!D$1)</f>
      </c>
      <c r="E354" s="16">
        <f>SUMIFS(Sheet2!B:B,Sheet2!A:A,Sheet1!A354)</f>
      </c>
      <c r="F354" s="14">
        <f>B354-C354</f>
      </c>
      <c r="G354" s="12"/>
      <c r="H354" s="13"/>
    </row>
    <row x14ac:dyDescent="0.25" r="355" customHeight="1" ht="18.75">
      <c r="A355" s="9">
        <v>45378</v>
      </c>
      <c r="B355" s="14">
        <f>COUNTIFS(Table1[Date],Sheet1!$A355,Table1[Sentiment V1],Sheet1!B$1)</f>
      </c>
      <c r="C355" s="14">
        <f>COUNTIFS(Table1[Date],Sheet1!$A355,Table1[Sentiment V1],Sheet1!C$1)</f>
      </c>
      <c r="D355" s="14">
        <f>COUNTIFS(Table1[Date],Sheet1!$A355,Table1[Sentiment V1],Sheet1!D$1)</f>
      </c>
      <c r="E355" s="16">
        <f>SUMIFS(Sheet2!B:B,Sheet2!A:A,Sheet1!A355)</f>
      </c>
      <c r="F355" s="14">
        <f>B355-C355</f>
      </c>
      <c r="G355" s="12"/>
      <c r="H355" s="13"/>
    </row>
    <row x14ac:dyDescent="0.25" r="356" customHeight="1" ht="18.75">
      <c r="A356" s="9">
        <v>45376</v>
      </c>
      <c r="B356" s="14">
        <f>COUNTIFS(Table1[Date],Sheet1!$A356,Table1[Sentiment V1],Sheet1!B$1)</f>
      </c>
      <c r="C356" s="14">
        <f>COUNTIFS(Table1[Date],Sheet1!$A356,Table1[Sentiment V1],Sheet1!C$1)</f>
      </c>
      <c r="D356" s="14">
        <f>COUNTIFS(Table1[Date],Sheet1!$A356,Table1[Sentiment V1],Sheet1!D$1)</f>
      </c>
      <c r="E356" s="16">
        <f>SUMIFS(Sheet2!B:B,Sheet2!A:A,Sheet1!A356)</f>
      </c>
      <c r="F356" s="14">
        <f>B356-C356</f>
      </c>
      <c r="G356" s="12"/>
      <c r="H356" s="13"/>
    </row>
    <row x14ac:dyDescent="0.25" r="357" customHeight="1" ht="18.75">
      <c r="A357" s="9">
        <v>45373</v>
      </c>
      <c r="B357" s="14">
        <f>COUNTIFS(Table1[Date],Sheet1!$A357,Table1[Sentiment V1],Sheet1!B$1)</f>
      </c>
      <c r="C357" s="14">
        <f>COUNTIFS(Table1[Date],Sheet1!$A357,Table1[Sentiment V1],Sheet1!C$1)</f>
      </c>
      <c r="D357" s="14">
        <f>COUNTIFS(Table1[Date],Sheet1!$A357,Table1[Sentiment V1],Sheet1!D$1)</f>
      </c>
      <c r="E357" s="16">
        <f>SUMIFS(Sheet2!B:B,Sheet2!A:A,Sheet1!A357)</f>
      </c>
      <c r="F357" s="14">
        <f>B357-C357</f>
      </c>
      <c r="G357" s="12"/>
      <c r="H357" s="13"/>
    </row>
    <row x14ac:dyDescent="0.25" r="358" customHeight="1" ht="18.75">
      <c r="A358" s="9">
        <v>45372</v>
      </c>
      <c r="B358" s="14">
        <f>COUNTIFS(Table1[Date],Sheet1!$A358,Table1[Sentiment V1],Sheet1!B$1)</f>
      </c>
      <c r="C358" s="14">
        <f>COUNTIFS(Table1[Date],Sheet1!$A358,Table1[Sentiment V1],Sheet1!C$1)</f>
      </c>
      <c r="D358" s="14">
        <f>COUNTIFS(Table1[Date],Sheet1!$A358,Table1[Sentiment V1],Sheet1!D$1)</f>
      </c>
      <c r="E358" s="16">
        <f>SUMIFS(Sheet2!B:B,Sheet2!A:A,Sheet1!A358)</f>
      </c>
      <c r="F358" s="14">
        <f>B358-C358</f>
      </c>
      <c r="G358" s="12"/>
      <c r="H358" s="13"/>
    </row>
    <row x14ac:dyDescent="0.25" r="359" customHeight="1" ht="18.75">
      <c r="A359" s="9">
        <v>45371</v>
      </c>
      <c r="B359" s="14">
        <f>COUNTIFS(Table1[Date],Sheet1!$A359,Table1[Sentiment V1],Sheet1!B$1)</f>
      </c>
      <c r="C359" s="14">
        <f>COUNTIFS(Table1[Date],Sheet1!$A359,Table1[Sentiment V1],Sheet1!C$1)</f>
      </c>
      <c r="D359" s="14">
        <f>COUNTIFS(Table1[Date],Sheet1!$A359,Table1[Sentiment V1],Sheet1!D$1)</f>
      </c>
      <c r="E359" s="16">
        <f>SUMIFS(Sheet2!B:B,Sheet2!A:A,Sheet1!A359)</f>
      </c>
      <c r="F359" s="14">
        <f>B359-C359</f>
      </c>
      <c r="G359" s="12"/>
      <c r="H359" s="13"/>
    </row>
    <row x14ac:dyDescent="0.25" r="360" customHeight="1" ht="18.75">
      <c r="A360" s="9">
        <v>45370</v>
      </c>
      <c r="B360" s="14">
        <f>COUNTIFS(Table1[Date],Sheet1!$A360,Table1[Sentiment V1],Sheet1!B$1)</f>
      </c>
      <c r="C360" s="14">
        <f>COUNTIFS(Table1[Date],Sheet1!$A360,Table1[Sentiment V1],Sheet1!C$1)</f>
      </c>
      <c r="D360" s="14">
        <f>COUNTIFS(Table1[Date],Sheet1!$A360,Table1[Sentiment V1],Sheet1!D$1)</f>
      </c>
      <c r="E360" s="16">
        <f>SUMIFS(Sheet2!B:B,Sheet2!A:A,Sheet1!A360)</f>
      </c>
      <c r="F360" s="14">
        <f>B360-C360</f>
      </c>
      <c r="G360" s="12"/>
      <c r="H360" s="13"/>
    </row>
    <row x14ac:dyDescent="0.25" r="361" customHeight="1" ht="18.75">
      <c r="A361" s="9">
        <v>45369</v>
      </c>
      <c r="B361" s="14">
        <f>COUNTIFS(Table1[Date],Sheet1!$A361,Table1[Sentiment V1],Sheet1!B$1)</f>
      </c>
      <c r="C361" s="14">
        <f>COUNTIFS(Table1[Date],Sheet1!$A361,Table1[Sentiment V1],Sheet1!C$1)</f>
      </c>
      <c r="D361" s="14">
        <f>COUNTIFS(Table1[Date],Sheet1!$A361,Table1[Sentiment V1],Sheet1!D$1)</f>
      </c>
      <c r="E361" s="16">
        <f>SUMIFS(Sheet2!B:B,Sheet2!A:A,Sheet1!A361)</f>
      </c>
      <c r="F361" s="14">
        <f>B361-C361</f>
      </c>
      <c r="G361" s="12"/>
      <c r="H361" s="13"/>
    </row>
    <row x14ac:dyDescent="0.25" r="362" customHeight="1" ht="18.75">
      <c r="A362" s="9">
        <v>45366</v>
      </c>
      <c r="B362" s="14">
        <f>COUNTIFS(Table1[Date],Sheet1!$A362,Table1[Sentiment V1],Sheet1!B$1)</f>
      </c>
      <c r="C362" s="14">
        <f>COUNTIFS(Table1[Date],Sheet1!$A362,Table1[Sentiment V1],Sheet1!C$1)</f>
      </c>
      <c r="D362" s="14">
        <f>COUNTIFS(Table1[Date],Sheet1!$A362,Table1[Sentiment V1],Sheet1!D$1)</f>
      </c>
      <c r="E362" s="16">
        <f>SUMIFS(Sheet2!B:B,Sheet2!A:A,Sheet1!A362)</f>
      </c>
      <c r="F362" s="14">
        <f>B362-C362</f>
      </c>
      <c r="G362" s="12"/>
      <c r="H362" s="13"/>
    </row>
    <row x14ac:dyDescent="0.25" r="363" customHeight="1" ht="18.75">
      <c r="A363" s="9">
        <v>45365</v>
      </c>
      <c r="B363" s="14">
        <f>COUNTIFS(Table1[Date],Sheet1!$A363,Table1[Sentiment V1],Sheet1!B$1)</f>
      </c>
      <c r="C363" s="14">
        <f>COUNTIFS(Table1[Date],Sheet1!$A363,Table1[Sentiment V1],Sheet1!C$1)</f>
      </c>
      <c r="D363" s="14">
        <f>COUNTIFS(Table1[Date],Sheet1!$A363,Table1[Sentiment V1],Sheet1!D$1)</f>
      </c>
      <c r="E363" s="16">
        <f>SUMIFS(Sheet2!B:B,Sheet2!A:A,Sheet1!A363)</f>
      </c>
      <c r="F363" s="14">
        <f>B363-C363</f>
      </c>
      <c r="G363" s="12"/>
      <c r="H363" s="13"/>
    </row>
    <row x14ac:dyDescent="0.25" r="364" customHeight="1" ht="18.75">
      <c r="A364" s="9">
        <v>45364</v>
      </c>
      <c r="B364" s="14">
        <f>COUNTIFS(Table1[Date],Sheet1!$A364,Table1[Sentiment V1],Sheet1!B$1)</f>
      </c>
      <c r="C364" s="14">
        <f>COUNTIFS(Table1[Date],Sheet1!$A364,Table1[Sentiment V1],Sheet1!C$1)</f>
      </c>
      <c r="D364" s="14">
        <f>COUNTIFS(Table1[Date],Sheet1!$A364,Table1[Sentiment V1],Sheet1!D$1)</f>
      </c>
      <c r="E364" s="16">
        <f>SUMIFS(Sheet2!B:B,Sheet2!A:A,Sheet1!A364)</f>
      </c>
      <c r="F364" s="14">
        <f>B364-C364</f>
      </c>
      <c r="G364" s="12"/>
      <c r="H364" s="13"/>
    </row>
    <row x14ac:dyDescent="0.25" r="365" customHeight="1" ht="18.75">
      <c r="A365" s="9">
        <v>45362</v>
      </c>
      <c r="B365" s="14">
        <f>COUNTIFS(Table1[Date],Sheet1!$A365,Table1[Sentiment V1],Sheet1!B$1)</f>
      </c>
      <c r="C365" s="14">
        <f>COUNTIFS(Table1[Date],Sheet1!$A365,Table1[Sentiment V1],Sheet1!C$1)</f>
      </c>
      <c r="D365" s="14">
        <f>COUNTIFS(Table1[Date],Sheet1!$A365,Table1[Sentiment V1],Sheet1!D$1)</f>
      </c>
      <c r="E365" s="16">
        <f>SUMIFS(Sheet2!B:B,Sheet2!A:A,Sheet1!A365)</f>
      </c>
      <c r="F365" s="14">
        <f>B365-C365</f>
      </c>
      <c r="G365" s="12"/>
      <c r="H365" s="13"/>
    </row>
    <row x14ac:dyDescent="0.25" r="366" customHeight="1" ht="18.75">
      <c r="A366" s="9">
        <v>45351</v>
      </c>
      <c r="B366" s="14">
        <f>COUNTIFS(Table1[Date],Sheet1!$A366,Table1[Sentiment V1],Sheet1!B$1)</f>
      </c>
      <c r="C366" s="14">
        <f>COUNTIFS(Table1[Date],Sheet1!$A366,Table1[Sentiment V1],Sheet1!C$1)</f>
      </c>
      <c r="D366" s="14">
        <f>COUNTIFS(Table1[Date],Sheet1!$A366,Table1[Sentiment V1],Sheet1!D$1)</f>
      </c>
      <c r="E366" s="16">
        <f>SUMIFS(Sheet2!B:B,Sheet2!A:A,Sheet1!A366)</f>
      </c>
      <c r="F366" s="14">
        <f>B366-C366</f>
      </c>
      <c r="G366" s="12"/>
      <c r="H366" s="13"/>
    </row>
    <row x14ac:dyDescent="0.25" r="367" customHeight="1" ht="18.75">
      <c r="A367" s="9">
        <v>45348</v>
      </c>
      <c r="B367" s="14">
        <f>COUNTIFS(Table1[Date],Sheet1!$A367,Table1[Sentiment V1],Sheet1!B$1)</f>
      </c>
      <c r="C367" s="14">
        <f>COUNTIFS(Table1[Date],Sheet1!$A367,Table1[Sentiment V1],Sheet1!C$1)</f>
      </c>
      <c r="D367" s="14">
        <f>COUNTIFS(Table1[Date],Sheet1!$A367,Table1[Sentiment V1],Sheet1!D$1)</f>
      </c>
      <c r="E367" s="16">
        <f>SUMIFS(Sheet2!B:B,Sheet2!A:A,Sheet1!A367)</f>
      </c>
      <c r="F367" s="14">
        <f>B367-C367</f>
      </c>
      <c r="G367" s="12"/>
      <c r="H367" s="13"/>
    </row>
    <row x14ac:dyDescent="0.25" r="368" customHeight="1" ht="18.75">
      <c r="A368" s="9">
        <v>45343</v>
      </c>
      <c r="B368" s="14">
        <f>COUNTIFS(Table1[Date],Sheet1!$A368,Table1[Sentiment V1],Sheet1!B$1)</f>
      </c>
      <c r="C368" s="14">
        <f>COUNTIFS(Table1[Date],Sheet1!$A368,Table1[Sentiment V1],Sheet1!C$1)</f>
      </c>
      <c r="D368" s="14">
        <f>COUNTIFS(Table1[Date],Sheet1!$A368,Table1[Sentiment V1],Sheet1!D$1)</f>
      </c>
      <c r="E368" s="16">
        <f>SUMIFS(Sheet2!B:B,Sheet2!A:A,Sheet1!A368)</f>
      </c>
      <c r="F368" s="14">
        <f>B368-C368</f>
      </c>
      <c r="G368" s="12"/>
      <c r="H368" s="13"/>
    </row>
    <row x14ac:dyDescent="0.25" r="369" customHeight="1" ht="18.75">
      <c r="A369" s="9">
        <v>45338</v>
      </c>
      <c r="B369" s="14">
        <f>COUNTIFS(Table1[Date],Sheet1!$A369,Table1[Sentiment V1],Sheet1!B$1)</f>
      </c>
      <c r="C369" s="14">
        <f>COUNTIFS(Table1[Date],Sheet1!$A369,Table1[Sentiment V1],Sheet1!C$1)</f>
      </c>
      <c r="D369" s="14">
        <f>COUNTIFS(Table1[Date],Sheet1!$A369,Table1[Sentiment V1],Sheet1!D$1)</f>
      </c>
      <c r="E369" s="16">
        <f>SUMIFS(Sheet2!B:B,Sheet2!A:A,Sheet1!A369)</f>
      </c>
      <c r="F369" s="14">
        <f>B369-C369</f>
      </c>
      <c r="G369" s="12"/>
      <c r="H369" s="13"/>
    </row>
    <row x14ac:dyDescent="0.25" r="370" customHeight="1" ht="18.75">
      <c r="A370" s="9">
        <v>45335</v>
      </c>
      <c r="B370" s="14">
        <f>COUNTIFS(Table1[Date],Sheet1!$A370,Table1[Sentiment V1],Sheet1!B$1)</f>
      </c>
      <c r="C370" s="14">
        <f>COUNTIFS(Table1[Date],Sheet1!$A370,Table1[Sentiment V1],Sheet1!C$1)</f>
      </c>
      <c r="D370" s="14">
        <f>COUNTIFS(Table1[Date],Sheet1!$A370,Table1[Sentiment V1],Sheet1!D$1)</f>
      </c>
      <c r="E370" s="16">
        <f>SUMIFS(Sheet2!B:B,Sheet2!A:A,Sheet1!A370)</f>
      </c>
      <c r="F370" s="14">
        <f>B370-C370</f>
      </c>
      <c r="G370" s="12"/>
      <c r="H370" s="13"/>
    </row>
    <row x14ac:dyDescent="0.25" r="371" customHeight="1" ht="18.75">
      <c r="A371" s="9">
        <v>45331</v>
      </c>
      <c r="B371" s="14">
        <f>COUNTIFS(Table1[Date],Sheet1!$A371,Table1[Sentiment V1],Sheet1!B$1)</f>
      </c>
      <c r="C371" s="14">
        <f>COUNTIFS(Table1[Date],Sheet1!$A371,Table1[Sentiment V1],Sheet1!C$1)</f>
      </c>
      <c r="D371" s="14">
        <f>COUNTIFS(Table1[Date],Sheet1!$A371,Table1[Sentiment V1],Sheet1!D$1)</f>
      </c>
      <c r="E371" s="16">
        <f>SUMIFS(Sheet2!B:B,Sheet2!A:A,Sheet1!A371)</f>
      </c>
      <c r="F371" s="14">
        <f>B371-C371</f>
      </c>
      <c r="G371" s="12"/>
      <c r="H371" s="13"/>
    </row>
    <row x14ac:dyDescent="0.25" r="372" customHeight="1" ht="18.75">
      <c r="A372" s="9">
        <v>45328</v>
      </c>
      <c r="B372" s="14">
        <f>COUNTIFS(Table1[Date],Sheet1!$A372,Table1[Sentiment V1],Sheet1!B$1)</f>
      </c>
      <c r="C372" s="14">
        <f>COUNTIFS(Table1[Date],Sheet1!$A372,Table1[Sentiment V1],Sheet1!C$1)</f>
      </c>
      <c r="D372" s="14">
        <f>COUNTIFS(Table1[Date],Sheet1!$A372,Table1[Sentiment V1],Sheet1!D$1)</f>
      </c>
      <c r="E372" s="16">
        <f>SUMIFS(Sheet2!B:B,Sheet2!A:A,Sheet1!A372)</f>
      </c>
      <c r="F372" s="14">
        <f>B372-C372</f>
      </c>
      <c r="G372" s="12"/>
      <c r="H372" s="13"/>
    </row>
    <row x14ac:dyDescent="0.25" r="373" customHeight="1" ht="18.75">
      <c r="A373" s="9">
        <v>45324</v>
      </c>
      <c r="B373" s="14">
        <f>COUNTIFS(Table1[Date],Sheet1!$A373,Table1[Sentiment V1],Sheet1!B$1)</f>
      </c>
      <c r="C373" s="14">
        <f>COUNTIFS(Table1[Date],Sheet1!$A373,Table1[Sentiment V1],Sheet1!C$1)</f>
      </c>
      <c r="D373" s="14">
        <f>COUNTIFS(Table1[Date],Sheet1!$A373,Table1[Sentiment V1],Sheet1!D$1)</f>
      </c>
      <c r="E373" s="16">
        <f>SUMIFS(Sheet2!B:B,Sheet2!A:A,Sheet1!A373)</f>
      </c>
      <c r="F373" s="14">
        <f>B373-C373</f>
      </c>
      <c r="G373" s="12"/>
      <c r="H373" s="13"/>
    </row>
    <row x14ac:dyDescent="0.25" r="374" customHeight="1" ht="18.75">
      <c r="A374" s="9">
        <v>45323</v>
      </c>
      <c r="B374" s="14">
        <f>COUNTIFS(Table1[Date],Sheet1!$A374,Table1[Sentiment V1],Sheet1!B$1)</f>
      </c>
      <c r="C374" s="14">
        <f>COUNTIFS(Table1[Date],Sheet1!$A374,Table1[Sentiment V1],Sheet1!C$1)</f>
      </c>
      <c r="D374" s="14">
        <f>COUNTIFS(Table1[Date],Sheet1!$A374,Table1[Sentiment V1],Sheet1!D$1)</f>
      </c>
      <c r="E374" s="16">
        <f>SUMIFS(Sheet2!B:B,Sheet2!A:A,Sheet1!A374)</f>
      </c>
      <c r="F374" s="14">
        <f>B374-C374</f>
      </c>
      <c r="G374" s="12"/>
      <c r="H374" s="13"/>
    </row>
    <row x14ac:dyDescent="0.25" r="375" customHeight="1" ht="18.75">
      <c r="A375" s="9">
        <v>45321</v>
      </c>
      <c r="B375" s="14">
        <f>COUNTIFS(Table1[Date],Sheet1!$A375,Table1[Sentiment V1],Sheet1!B$1)</f>
      </c>
      <c r="C375" s="14">
        <f>COUNTIFS(Table1[Date],Sheet1!$A375,Table1[Sentiment V1],Sheet1!C$1)</f>
      </c>
      <c r="D375" s="14">
        <f>COUNTIFS(Table1[Date],Sheet1!$A375,Table1[Sentiment V1],Sheet1!D$1)</f>
      </c>
      <c r="E375" s="16">
        <f>SUMIFS(Sheet2!B:B,Sheet2!A:A,Sheet1!A375)</f>
      </c>
      <c r="F375" s="14">
        <f>B375-C375</f>
      </c>
      <c r="G375" s="12"/>
      <c r="H375" s="13"/>
    </row>
    <row x14ac:dyDescent="0.25" r="376" customHeight="1" ht="18.75">
      <c r="A376" s="9">
        <v>45320</v>
      </c>
      <c r="B376" s="14">
        <f>COUNTIFS(Table1[Date],Sheet1!$A376,Table1[Sentiment V1],Sheet1!B$1)</f>
      </c>
      <c r="C376" s="14">
        <f>COUNTIFS(Table1[Date],Sheet1!$A376,Table1[Sentiment V1],Sheet1!C$1)</f>
      </c>
      <c r="D376" s="14">
        <f>COUNTIFS(Table1[Date],Sheet1!$A376,Table1[Sentiment V1],Sheet1!D$1)</f>
      </c>
      <c r="E376" s="16">
        <f>SUMIFS(Sheet2!B:B,Sheet2!A:A,Sheet1!A376)</f>
      </c>
      <c r="F376" s="14">
        <f>B376-C376</f>
      </c>
      <c r="G376" s="12"/>
      <c r="H376" s="13"/>
    </row>
    <row x14ac:dyDescent="0.25" r="377" customHeight="1" ht="18.75">
      <c r="A377" s="9">
        <v>45317</v>
      </c>
      <c r="B377" s="14">
        <f>COUNTIFS(Table1[Date],Sheet1!$A377,Table1[Sentiment V1],Sheet1!B$1)</f>
      </c>
      <c r="C377" s="14">
        <f>COUNTIFS(Table1[Date],Sheet1!$A377,Table1[Sentiment V1],Sheet1!C$1)</f>
      </c>
      <c r="D377" s="14">
        <f>COUNTIFS(Table1[Date],Sheet1!$A377,Table1[Sentiment V1],Sheet1!D$1)</f>
      </c>
      <c r="E377" s="16">
        <f>SUMIFS(Sheet2!B:B,Sheet2!A:A,Sheet1!A377)</f>
      </c>
      <c r="F377" s="14">
        <f>B377-C377</f>
      </c>
      <c r="G377" s="12"/>
      <c r="H377" s="13"/>
    </row>
    <row x14ac:dyDescent="0.25" r="378" customHeight="1" ht="18.75">
      <c r="A378" s="9">
        <v>45303</v>
      </c>
      <c r="B378" s="14">
        <f>COUNTIFS(Table1[Date],Sheet1!$A378,Table1[Sentiment V1],Sheet1!B$1)</f>
      </c>
      <c r="C378" s="14">
        <f>COUNTIFS(Table1[Date],Sheet1!$A378,Table1[Sentiment V1],Sheet1!C$1)</f>
      </c>
      <c r="D378" s="14">
        <f>COUNTIFS(Table1[Date],Sheet1!$A378,Table1[Sentiment V1],Sheet1!D$1)</f>
      </c>
      <c r="E378" s="16">
        <f>SUMIFS(Sheet2!B:B,Sheet2!A:A,Sheet1!A378)</f>
      </c>
      <c r="F378" s="14">
        <f>B378-C378</f>
      </c>
      <c r="G378" s="12"/>
      <c r="H378" s="13"/>
    </row>
    <row x14ac:dyDescent="0.25" r="379" customHeight="1" ht="18.75">
      <c r="A379" s="9">
        <v>45302</v>
      </c>
      <c r="B379" s="14">
        <f>COUNTIFS(Table1[Date],Sheet1!$A379,Table1[Sentiment V1],Sheet1!B$1)</f>
      </c>
      <c r="C379" s="14">
        <f>COUNTIFS(Table1[Date],Sheet1!$A379,Table1[Sentiment V1],Sheet1!C$1)</f>
      </c>
      <c r="D379" s="14">
        <f>COUNTIFS(Table1[Date],Sheet1!$A379,Table1[Sentiment V1],Sheet1!D$1)</f>
      </c>
      <c r="E379" s="16">
        <f>SUMIFS(Sheet2!B:B,Sheet2!A:A,Sheet1!A379)</f>
      </c>
      <c r="F379" s="14">
        <f>B379-C379</f>
      </c>
      <c r="G379" s="12"/>
      <c r="H379" s="13"/>
    </row>
    <row x14ac:dyDescent="0.25" r="380" customHeight="1" ht="18.75">
      <c r="A380" s="9">
        <v>45300</v>
      </c>
      <c r="B380" s="14">
        <f>COUNTIFS(Table1[Date],Sheet1!$A380,Table1[Sentiment V1],Sheet1!B$1)</f>
      </c>
      <c r="C380" s="14">
        <f>COUNTIFS(Table1[Date],Sheet1!$A380,Table1[Sentiment V1],Sheet1!C$1)</f>
      </c>
      <c r="D380" s="14">
        <f>COUNTIFS(Table1[Date],Sheet1!$A380,Table1[Sentiment V1],Sheet1!D$1)</f>
      </c>
      <c r="E380" s="16">
        <f>SUMIFS(Sheet2!B:B,Sheet2!A:A,Sheet1!A380)</f>
      </c>
      <c r="F380" s="14">
        <f>B380-C380</f>
      </c>
      <c r="G380" s="12"/>
      <c r="H380" s="13"/>
    </row>
    <row x14ac:dyDescent="0.25" r="381" customHeight="1" ht="18.75">
      <c r="A381" s="9">
        <v>45299</v>
      </c>
      <c r="B381" s="14">
        <f>COUNTIFS(Table1[Date],Sheet1!$A381,Table1[Sentiment V1],Sheet1!B$1)</f>
      </c>
      <c r="C381" s="14">
        <f>COUNTIFS(Table1[Date],Sheet1!$A381,Table1[Sentiment V1],Sheet1!C$1)</f>
      </c>
      <c r="D381" s="14">
        <f>COUNTIFS(Table1[Date],Sheet1!$A381,Table1[Sentiment V1],Sheet1!D$1)</f>
      </c>
      <c r="E381" s="16">
        <f>SUMIFS(Sheet2!B:B,Sheet2!A:A,Sheet1!A381)</f>
      </c>
      <c r="F381" s="14">
        <f>B381-C381</f>
      </c>
      <c r="G381" s="12"/>
      <c r="H381" s="13"/>
    </row>
    <row x14ac:dyDescent="0.25" r="382" customHeight="1" ht="18.75">
      <c r="A382" s="9">
        <v>45293</v>
      </c>
      <c r="B382" s="14">
        <f>COUNTIFS(Table1[Date],Sheet1!$A382,Table1[Sentiment V1],Sheet1!B$1)</f>
      </c>
      <c r="C382" s="14">
        <f>COUNTIFS(Table1[Date],Sheet1!$A382,Table1[Sentiment V1],Sheet1!C$1)</f>
      </c>
      <c r="D382" s="14">
        <f>COUNTIFS(Table1[Date],Sheet1!$A382,Table1[Sentiment V1],Sheet1!D$1)</f>
      </c>
      <c r="E382" s="16">
        <f>SUMIFS(Sheet2!B:B,Sheet2!A:A,Sheet1!A382)</f>
      </c>
      <c r="F382" s="14">
        <f>B382-C382</f>
      </c>
      <c r="G382" s="12"/>
      <c r="H382" s="13"/>
    </row>
    <row x14ac:dyDescent="0.25" r="383" customHeight="1" ht="18.75">
      <c r="A383" s="9">
        <v>45289</v>
      </c>
      <c r="B383" s="14">
        <f>COUNTIFS(Table1[Date],Sheet1!$A383,Table1[Sentiment V1],Sheet1!B$1)</f>
      </c>
      <c r="C383" s="14">
        <f>COUNTIFS(Table1[Date],Sheet1!$A383,Table1[Sentiment V1],Sheet1!C$1)</f>
      </c>
      <c r="D383" s="14">
        <f>COUNTIFS(Table1[Date],Sheet1!$A383,Table1[Sentiment V1],Sheet1!D$1)</f>
      </c>
      <c r="E383" s="16">
        <f>SUMIFS(Sheet2!B:B,Sheet2!A:A,Sheet1!A383)</f>
      </c>
      <c r="F383" s="14">
        <f>B383-C383</f>
      </c>
      <c r="G383" s="12"/>
      <c r="H383" s="13"/>
    </row>
    <row x14ac:dyDescent="0.25" r="384" customHeight="1" ht="18.75">
      <c r="A384" s="9">
        <v>45285</v>
      </c>
      <c r="B384" s="14">
        <f>COUNTIFS(Table1[Date],Sheet1!$A384,Table1[Sentiment V1],Sheet1!B$1)</f>
      </c>
      <c r="C384" s="14">
        <f>COUNTIFS(Table1[Date],Sheet1!$A384,Table1[Sentiment V1],Sheet1!C$1)</f>
      </c>
      <c r="D384" s="14">
        <f>COUNTIFS(Table1[Date],Sheet1!$A384,Table1[Sentiment V1],Sheet1!D$1)</f>
      </c>
      <c r="E384" s="16">
        <f>SUMIFS(Sheet2!B:B,Sheet2!A:A,Sheet1!A384)</f>
      </c>
      <c r="F384" s="14">
        <f>B384-C384</f>
      </c>
      <c r="G384" s="12"/>
      <c r="H384" s="13"/>
    </row>
    <row x14ac:dyDescent="0.25" r="385" customHeight="1" ht="18.75">
      <c r="A385" s="9">
        <v>45281</v>
      </c>
      <c r="B385" s="14">
        <f>COUNTIFS(Table1[Date],Sheet1!$A385,Table1[Sentiment V1],Sheet1!B$1)</f>
      </c>
      <c r="C385" s="14">
        <f>COUNTIFS(Table1[Date],Sheet1!$A385,Table1[Sentiment V1],Sheet1!C$1)</f>
      </c>
      <c r="D385" s="14">
        <f>COUNTIFS(Table1[Date],Sheet1!$A385,Table1[Sentiment V1],Sheet1!D$1)</f>
      </c>
      <c r="E385" s="16">
        <f>SUMIFS(Sheet2!B:B,Sheet2!A:A,Sheet1!A385)</f>
      </c>
      <c r="F385" s="14">
        <f>B385-C385</f>
      </c>
      <c r="G385" s="12"/>
      <c r="H385" s="13"/>
    </row>
    <row x14ac:dyDescent="0.25" r="386" customHeight="1" ht="18.75">
      <c r="A386" s="9">
        <v>45280</v>
      </c>
      <c r="B386" s="14">
        <f>COUNTIFS(Table1[Date],Sheet1!$A386,Table1[Sentiment V1],Sheet1!B$1)</f>
      </c>
      <c r="C386" s="14">
        <f>COUNTIFS(Table1[Date],Sheet1!$A386,Table1[Sentiment V1],Sheet1!C$1)</f>
      </c>
      <c r="D386" s="14">
        <f>COUNTIFS(Table1[Date],Sheet1!$A386,Table1[Sentiment V1],Sheet1!D$1)</f>
      </c>
      <c r="E386" s="16">
        <f>SUMIFS(Sheet2!B:B,Sheet2!A:A,Sheet1!A386)</f>
      </c>
      <c r="F386" s="14">
        <f>B386-C386</f>
      </c>
      <c r="G386" s="12"/>
      <c r="H386" s="13"/>
    </row>
    <row x14ac:dyDescent="0.25" r="387" customHeight="1" ht="18.75">
      <c r="A387" s="9">
        <v>45278</v>
      </c>
      <c r="B387" s="14">
        <f>COUNTIFS(Table1[Date],Sheet1!$A387,Table1[Sentiment V1],Sheet1!B$1)</f>
      </c>
      <c r="C387" s="14">
        <f>COUNTIFS(Table1[Date],Sheet1!$A387,Table1[Sentiment V1],Sheet1!C$1)</f>
      </c>
      <c r="D387" s="14">
        <f>COUNTIFS(Table1[Date],Sheet1!$A387,Table1[Sentiment V1],Sheet1!D$1)</f>
      </c>
      <c r="E387" s="16">
        <f>SUMIFS(Sheet2!B:B,Sheet2!A:A,Sheet1!A387)</f>
      </c>
      <c r="F387" s="14">
        <f>B387-C387</f>
      </c>
      <c r="G387" s="12"/>
      <c r="H387" s="13"/>
    </row>
    <row x14ac:dyDescent="0.25" r="388" customHeight="1" ht="18.75" hidden="1">
      <c r="A388" s="9">
        <v>45277</v>
      </c>
      <c r="B388" s="14">
        <f>COUNTIFS(Table1[Date],Sheet1!$A388,Table1[Sentiment V1],Sheet1!B$1)</f>
      </c>
      <c r="C388" s="14">
        <f>COUNTIFS(Table1[Date],Sheet1!$A388,Table1[Sentiment V1],Sheet1!C$1)</f>
      </c>
      <c r="D388" s="14">
        <f>COUNTIFS(Table1[Date],Sheet1!$A388,Table1[Sentiment V1],Sheet1!D$1)</f>
      </c>
      <c r="E388" s="15">
        <f>SUMIFS(Sheet2!B:B,Sheet2!A:A,Sheet1!A388)</f>
      </c>
      <c r="F388" s="14">
        <f>B388-C388</f>
      </c>
      <c r="G388" s="12"/>
      <c r="H388" s="13"/>
    </row>
    <row x14ac:dyDescent="0.25" r="389" customHeight="1" ht="18.75">
      <c r="A389" s="9">
        <v>45275</v>
      </c>
      <c r="B389" s="14">
        <f>COUNTIFS(Table1[Date],Sheet1!$A389,Table1[Sentiment V1],Sheet1!B$1)</f>
      </c>
      <c r="C389" s="14">
        <f>COUNTIFS(Table1[Date],Sheet1!$A389,Table1[Sentiment V1],Sheet1!C$1)</f>
      </c>
      <c r="D389" s="14">
        <f>COUNTIFS(Table1[Date],Sheet1!$A389,Table1[Sentiment V1],Sheet1!D$1)</f>
      </c>
      <c r="E389" s="16">
        <f>SUMIFS(Sheet2!B:B,Sheet2!A:A,Sheet1!A389)</f>
      </c>
      <c r="F389" s="14">
        <f>B389-C389</f>
      </c>
      <c r="G389" s="12"/>
      <c r="H389" s="13"/>
    </row>
    <row x14ac:dyDescent="0.25" r="390" customHeight="1" ht="18.75">
      <c r="A390" s="9">
        <v>45274</v>
      </c>
      <c r="B390" s="14">
        <f>COUNTIFS(Table1[Date],Sheet1!$A390,Table1[Sentiment V1],Sheet1!B$1)</f>
      </c>
      <c r="C390" s="14">
        <f>COUNTIFS(Table1[Date],Sheet1!$A390,Table1[Sentiment V1],Sheet1!C$1)</f>
      </c>
      <c r="D390" s="14">
        <f>COUNTIFS(Table1[Date],Sheet1!$A390,Table1[Sentiment V1],Sheet1!D$1)</f>
      </c>
      <c r="E390" s="16">
        <f>SUMIFS(Sheet2!B:B,Sheet2!A:A,Sheet1!A390)</f>
      </c>
      <c r="F390" s="14">
        <f>B390-C390</f>
      </c>
      <c r="G390" s="12"/>
      <c r="H390" s="13"/>
    </row>
    <row x14ac:dyDescent="0.25" r="391" customHeight="1" ht="18.75">
      <c r="A391" s="9">
        <v>45272</v>
      </c>
      <c r="B391" s="14">
        <f>COUNTIFS(Table1[Date],Sheet1!$A391,Table1[Sentiment V1],Sheet1!B$1)</f>
      </c>
      <c r="C391" s="14">
        <f>COUNTIFS(Table1[Date],Sheet1!$A391,Table1[Sentiment V1],Sheet1!C$1)</f>
      </c>
      <c r="D391" s="14">
        <f>COUNTIFS(Table1[Date],Sheet1!$A391,Table1[Sentiment V1],Sheet1!D$1)</f>
      </c>
      <c r="E391" s="16">
        <f>SUMIFS(Sheet2!B:B,Sheet2!A:A,Sheet1!A391)</f>
      </c>
      <c r="F391" s="14">
        <f>B391-C391</f>
      </c>
      <c r="G391" s="12"/>
      <c r="H391" s="13"/>
    </row>
    <row x14ac:dyDescent="0.25" r="392" customHeight="1" ht="18.75">
      <c r="A392" s="9">
        <v>45267</v>
      </c>
      <c r="B392" s="14">
        <f>COUNTIFS(Table1[Date],Sheet1!$A392,Table1[Sentiment V1],Sheet1!B$1)</f>
      </c>
      <c r="C392" s="14">
        <f>COUNTIFS(Table1[Date],Sheet1!$A392,Table1[Sentiment V1],Sheet1!C$1)</f>
      </c>
      <c r="D392" s="14">
        <f>COUNTIFS(Table1[Date],Sheet1!$A392,Table1[Sentiment V1],Sheet1!D$1)</f>
      </c>
      <c r="E392" s="16">
        <f>SUMIFS(Sheet2!B:B,Sheet2!A:A,Sheet1!A392)</f>
      </c>
      <c r="F392" s="14">
        <f>B392-C392</f>
      </c>
      <c r="G392" s="12"/>
      <c r="H392" s="13"/>
    </row>
    <row x14ac:dyDescent="0.25" r="393" customHeight="1" ht="18.75">
      <c r="A393" s="9">
        <v>45266</v>
      </c>
      <c r="B393" s="14">
        <f>COUNTIFS(Table1[Date],Sheet1!$A393,Table1[Sentiment V1],Sheet1!B$1)</f>
      </c>
      <c r="C393" s="14">
        <f>COUNTIFS(Table1[Date],Sheet1!$A393,Table1[Sentiment V1],Sheet1!C$1)</f>
      </c>
      <c r="D393" s="14">
        <f>COUNTIFS(Table1[Date],Sheet1!$A393,Table1[Sentiment V1],Sheet1!D$1)</f>
      </c>
      <c r="E393" s="16">
        <f>SUMIFS(Sheet2!B:B,Sheet2!A:A,Sheet1!A393)</f>
      </c>
      <c r="F393" s="14">
        <f>B393-C393</f>
      </c>
      <c r="G393" s="12"/>
      <c r="H393" s="13"/>
    </row>
    <row x14ac:dyDescent="0.25" r="394" customHeight="1" ht="18.75">
      <c r="A394" s="9">
        <v>45265</v>
      </c>
      <c r="B394" s="14">
        <f>COUNTIFS(Table1[Date],Sheet1!$A394,Table1[Sentiment V1],Sheet1!B$1)</f>
      </c>
      <c r="C394" s="14">
        <f>COUNTIFS(Table1[Date],Sheet1!$A394,Table1[Sentiment V1],Sheet1!C$1)</f>
      </c>
      <c r="D394" s="14">
        <f>COUNTIFS(Table1[Date],Sheet1!$A394,Table1[Sentiment V1],Sheet1!D$1)</f>
      </c>
      <c r="E394" s="16">
        <f>SUMIFS(Sheet2!B:B,Sheet2!A:A,Sheet1!A394)</f>
      </c>
      <c r="F394" s="14">
        <f>B394-C394</f>
      </c>
      <c r="G394" s="12"/>
      <c r="H394" s="13"/>
    </row>
    <row x14ac:dyDescent="0.25" r="395" customHeight="1" ht="18.75">
      <c r="A395" s="9">
        <v>45261</v>
      </c>
      <c r="B395" s="14">
        <f>COUNTIFS(Table1[Date],Sheet1!$A395,Table1[Sentiment V1],Sheet1!B$1)</f>
      </c>
      <c r="C395" s="14">
        <f>COUNTIFS(Table1[Date],Sheet1!$A395,Table1[Sentiment V1],Sheet1!C$1)</f>
      </c>
      <c r="D395" s="14">
        <f>COUNTIFS(Table1[Date],Sheet1!$A395,Table1[Sentiment V1],Sheet1!D$1)</f>
      </c>
      <c r="E395" s="16">
        <f>SUMIFS(Sheet2!B:B,Sheet2!A:A,Sheet1!A395)</f>
      </c>
      <c r="F395" s="14">
        <f>B395-C395</f>
      </c>
      <c r="G395" s="12"/>
      <c r="H395" s="13"/>
    </row>
    <row x14ac:dyDescent="0.25" r="396" customHeight="1" ht="18.75">
      <c r="A396" s="9">
        <v>45260</v>
      </c>
      <c r="B396" s="14">
        <f>COUNTIFS(Table1[Date],Sheet1!$A396,Table1[Sentiment V1],Sheet1!B$1)</f>
      </c>
      <c r="C396" s="14">
        <f>COUNTIFS(Table1[Date],Sheet1!$A396,Table1[Sentiment V1],Sheet1!C$1)</f>
      </c>
      <c r="D396" s="14">
        <f>COUNTIFS(Table1[Date],Sheet1!$A396,Table1[Sentiment V1],Sheet1!D$1)</f>
      </c>
      <c r="E396" s="16">
        <f>SUMIFS(Sheet2!B:B,Sheet2!A:A,Sheet1!A396)</f>
      </c>
      <c r="F396" s="14">
        <f>B396-C396</f>
      </c>
      <c r="G396" s="12"/>
      <c r="H396" s="13"/>
    </row>
    <row x14ac:dyDescent="0.25" r="397" customHeight="1" ht="18.75">
      <c r="A397" s="9">
        <v>45259</v>
      </c>
      <c r="B397" s="14">
        <f>COUNTIFS(Table1[Date],Sheet1!$A397,Table1[Sentiment V1],Sheet1!B$1)</f>
      </c>
      <c r="C397" s="14">
        <f>COUNTIFS(Table1[Date],Sheet1!$A397,Table1[Sentiment V1],Sheet1!C$1)</f>
      </c>
      <c r="D397" s="14">
        <f>COUNTIFS(Table1[Date],Sheet1!$A397,Table1[Sentiment V1],Sheet1!D$1)</f>
      </c>
      <c r="E397" s="16">
        <f>SUMIFS(Sheet2!B:B,Sheet2!A:A,Sheet1!A397)</f>
      </c>
      <c r="F397" s="14">
        <f>B397-C397</f>
      </c>
      <c r="G397" s="12"/>
      <c r="H397" s="13"/>
    </row>
    <row x14ac:dyDescent="0.25" r="398" customHeight="1" ht="18.75">
      <c r="A398" s="9">
        <v>45258</v>
      </c>
      <c r="B398" s="14">
        <f>COUNTIFS(Table1[Date],Sheet1!$A398,Table1[Sentiment V1],Sheet1!B$1)</f>
      </c>
      <c r="C398" s="14">
        <f>COUNTIFS(Table1[Date],Sheet1!$A398,Table1[Sentiment V1],Sheet1!C$1)</f>
      </c>
      <c r="D398" s="14">
        <f>COUNTIFS(Table1[Date],Sheet1!$A398,Table1[Sentiment V1],Sheet1!D$1)</f>
      </c>
      <c r="E398" s="16">
        <f>SUMIFS(Sheet2!B:B,Sheet2!A:A,Sheet1!A398)</f>
      </c>
      <c r="F398" s="14">
        <f>B398-C398</f>
      </c>
      <c r="G398" s="12"/>
      <c r="H398" s="13"/>
    </row>
    <row x14ac:dyDescent="0.25" r="399" customHeight="1" ht="18.75">
      <c r="A399" s="9">
        <v>45257</v>
      </c>
      <c r="B399" s="14">
        <f>COUNTIFS(Table1[Date],Sheet1!$A399,Table1[Sentiment V1],Sheet1!B$1)</f>
      </c>
      <c r="C399" s="14">
        <f>COUNTIFS(Table1[Date],Sheet1!$A399,Table1[Sentiment V1],Sheet1!C$1)</f>
      </c>
      <c r="D399" s="14">
        <f>COUNTIFS(Table1[Date],Sheet1!$A399,Table1[Sentiment V1],Sheet1!D$1)</f>
      </c>
      <c r="E399" s="16">
        <f>SUMIFS(Sheet2!B:B,Sheet2!A:A,Sheet1!A399)</f>
      </c>
      <c r="F399" s="14">
        <f>B399-C399</f>
      </c>
      <c r="G399" s="12"/>
      <c r="H399" s="13"/>
    </row>
    <row x14ac:dyDescent="0.25" r="400" customHeight="1" ht="18.75">
      <c r="A400" s="9">
        <v>45250</v>
      </c>
      <c r="B400" s="14">
        <f>COUNTIFS(Table1[Date],Sheet1!$A400,Table1[Sentiment V1],Sheet1!B$1)</f>
      </c>
      <c r="C400" s="14">
        <f>COUNTIFS(Table1[Date],Sheet1!$A400,Table1[Sentiment V1],Sheet1!C$1)</f>
      </c>
      <c r="D400" s="14">
        <f>COUNTIFS(Table1[Date],Sheet1!$A400,Table1[Sentiment V1],Sheet1!D$1)</f>
      </c>
      <c r="E400" s="16">
        <f>SUMIFS(Sheet2!B:B,Sheet2!A:A,Sheet1!A400)</f>
      </c>
      <c r="F400" s="14">
        <f>B400-C400</f>
      </c>
      <c r="G400" s="12"/>
      <c r="H400" s="13"/>
    </row>
    <row x14ac:dyDescent="0.25" r="401" customHeight="1" ht="18.75" hidden="1">
      <c r="A401" s="9">
        <v>45248</v>
      </c>
      <c r="B401" s="14">
        <f>COUNTIFS(Table1[Date],Sheet1!$A401,Table1[Sentiment V1],Sheet1!B$1)</f>
      </c>
      <c r="C401" s="14">
        <f>COUNTIFS(Table1[Date],Sheet1!$A401,Table1[Sentiment V1],Sheet1!C$1)</f>
      </c>
      <c r="D401" s="14">
        <f>COUNTIFS(Table1[Date],Sheet1!$A401,Table1[Sentiment V1],Sheet1!D$1)</f>
      </c>
      <c r="E401" s="15">
        <f>SUMIFS(Sheet2!B:B,Sheet2!A:A,Sheet1!A401)</f>
      </c>
      <c r="F401" s="14">
        <f>B401-C401</f>
      </c>
      <c r="G401" s="12"/>
      <c r="H401" s="13"/>
    </row>
    <row x14ac:dyDescent="0.25" r="402" customHeight="1" ht="18.75">
      <c r="A402" s="9">
        <v>45246</v>
      </c>
      <c r="B402" s="14">
        <f>COUNTIFS(Table1[Date],Sheet1!$A402,Table1[Sentiment V1],Sheet1!B$1)</f>
      </c>
      <c r="C402" s="14">
        <f>COUNTIFS(Table1[Date],Sheet1!$A402,Table1[Sentiment V1],Sheet1!C$1)</f>
      </c>
      <c r="D402" s="14">
        <f>COUNTIFS(Table1[Date],Sheet1!$A402,Table1[Sentiment V1],Sheet1!D$1)</f>
      </c>
      <c r="E402" s="16">
        <f>SUMIFS(Sheet2!B:B,Sheet2!A:A,Sheet1!A402)</f>
      </c>
      <c r="F402" s="14">
        <f>B402-C402</f>
      </c>
      <c r="G402" s="12"/>
      <c r="H402" s="13"/>
    </row>
    <row x14ac:dyDescent="0.25" r="403" customHeight="1" ht="18.75">
      <c r="A403" s="9">
        <v>45244</v>
      </c>
      <c r="B403" s="14">
        <f>COUNTIFS(Table1[Date],Sheet1!$A403,Table1[Sentiment V1],Sheet1!B$1)</f>
      </c>
      <c r="C403" s="14">
        <f>COUNTIFS(Table1[Date],Sheet1!$A403,Table1[Sentiment V1],Sheet1!C$1)</f>
      </c>
      <c r="D403" s="14">
        <f>COUNTIFS(Table1[Date],Sheet1!$A403,Table1[Sentiment V1],Sheet1!D$1)</f>
      </c>
      <c r="E403" s="16">
        <f>SUMIFS(Sheet2!B:B,Sheet2!A:A,Sheet1!A403)</f>
      </c>
      <c r="F403" s="14">
        <f>B403-C403</f>
      </c>
      <c r="G403" s="12"/>
      <c r="H403" s="13"/>
    </row>
    <row x14ac:dyDescent="0.25" r="404" customHeight="1" ht="18.75">
      <c r="A404" s="9">
        <v>45243</v>
      </c>
      <c r="B404" s="14">
        <f>COUNTIFS(Table1[Date],Sheet1!$A404,Table1[Sentiment V1],Sheet1!B$1)</f>
      </c>
      <c r="C404" s="14">
        <f>COUNTIFS(Table1[Date],Sheet1!$A404,Table1[Sentiment V1],Sheet1!C$1)</f>
      </c>
      <c r="D404" s="14">
        <f>COUNTIFS(Table1[Date],Sheet1!$A404,Table1[Sentiment V1],Sheet1!D$1)</f>
      </c>
      <c r="E404" s="16">
        <f>SUMIFS(Sheet2!B:B,Sheet2!A:A,Sheet1!A404)</f>
      </c>
      <c r="F404" s="14">
        <f>B404-C404</f>
      </c>
      <c r="G404" s="12"/>
      <c r="H404" s="13"/>
    </row>
    <row x14ac:dyDescent="0.25" r="405" customHeight="1" ht="18.75" hidden="1">
      <c r="A405" s="9">
        <v>45241</v>
      </c>
      <c r="B405" s="14">
        <f>COUNTIFS(Table1[Date],Sheet1!$A405,Table1[Sentiment V1],Sheet1!B$1)</f>
      </c>
      <c r="C405" s="14">
        <f>COUNTIFS(Table1[Date],Sheet1!$A405,Table1[Sentiment V1],Sheet1!C$1)</f>
      </c>
      <c r="D405" s="14">
        <f>COUNTIFS(Table1[Date],Sheet1!$A405,Table1[Sentiment V1],Sheet1!D$1)</f>
      </c>
      <c r="E405" s="15">
        <f>SUMIFS(Sheet2!B:B,Sheet2!A:A,Sheet1!A405)</f>
      </c>
      <c r="F405" s="14">
        <f>B405-C405</f>
      </c>
      <c r="G405" s="12"/>
      <c r="H405" s="13"/>
    </row>
    <row x14ac:dyDescent="0.25" r="406" customHeight="1" ht="18.75">
      <c r="A406" s="9">
        <v>45239</v>
      </c>
      <c r="B406" s="14">
        <f>COUNTIFS(Table1[Date],Sheet1!$A406,Table1[Sentiment V1],Sheet1!B$1)</f>
      </c>
      <c r="C406" s="14">
        <f>COUNTIFS(Table1[Date],Sheet1!$A406,Table1[Sentiment V1],Sheet1!C$1)</f>
      </c>
      <c r="D406" s="14">
        <f>COUNTIFS(Table1[Date],Sheet1!$A406,Table1[Sentiment V1],Sheet1!D$1)</f>
      </c>
      <c r="E406" s="16">
        <f>SUMIFS(Sheet2!B:B,Sheet2!A:A,Sheet1!A406)</f>
      </c>
      <c r="F406" s="14">
        <f>B406-C406</f>
      </c>
      <c r="G406" s="12"/>
      <c r="H406" s="13"/>
    </row>
    <row x14ac:dyDescent="0.25" r="407" customHeight="1" ht="18.75">
      <c r="A407" s="9">
        <v>45238</v>
      </c>
      <c r="B407" s="14">
        <f>COUNTIFS(Table1[Date],Sheet1!$A407,Table1[Sentiment V1],Sheet1!B$1)</f>
      </c>
      <c r="C407" s="14">
        <f>COUNTIFS(Table1[Date],Sheet1!$A407,Table1[Sentiment V1],Sheet1!C$1)</f>
      </c>
      <c r="D407" s="14">
        <f>COUNTIFS(Table1[Date],Sheet1!$A407,Table1[Sentiment V1],Sheet1!D$1)</f>
      </c>
      <c r="E407" s="16">
        <f>SUMIFS(Sheet2!B:B,Sheet2!A:A,Sheet1!A407)</f>
      </c>
      <c r="F407" s="14">
        <f>B407-C407</f>
      </c>
      <c r="G407" s="12"/>
      <c r="H407" s="13"/>
    </row>
    <row x14ac:dyDescent="0.25" r="408" customHeight="1" ht="18.75">
      <c r="A408" s="9">
        <v>45233</v>
      </c>
      <c r="B408" s="14">
        <f>COUNTIFS(Table1[Date],Sheet1!$A408,Table1[Sentiment V1],Sheet1!B$1)</f>
      </c>
      <c r="C408" s="14">
        <f>COUNTIFS(Table1[Date],Sheet1!$A408,Table1[Sentiment V1],Sheet1!C$1)</f>
      </c>
      <c r="D408" s="14">
        <f>COUNTIFS(Table1[Date],Sheet1!$A408,Table1[Sentiment V1],Sheet1!D$1)</f>
      </c>
      <c r="E408" s="16">
        <f>SUMIFS(Sheet2!B:B,Sheet2!A:A,Sheet1!A408)</f>
      </c>
      <c r="F408" s="14">
        <f>B408-C408</f>
      </c>
      <c r="G408" s="12"/>
      <c r="H408" s="13"/>
    </row>
    <row x14ac:dyDescent="0.25" r="409" customHeight="1" ht="18.75">
      <c r="A409" s="9">
        <v>45226</v>
      </c>
      <c r="B409" s="14">
        <f>COUNTIFS(Table1[Date],Sheet1!$A409,Table1[Sentiment V1],Sheet1!B$1)</f>
      </c>
      <c r="C409" s="14">
        <f>COUNTIFS(Table1[Date],Sheet1!$A409,Table1[Sentiment V1],Sheet1!C$1)</f>
      </c>
      <c r="D409" s="14">
        <f>COUNTIFS(Table1[Date],Sheet1!$A409,Table1[Sentiment V1],Sheet1!D$1)</f>
      </c>
      <c r="E409" s="16">
        <f>SUMIFS(Sheet2!B:B,Sheet2!A:A,Sheet1!A409)</f>
      </c>
      <c r="F409" s="14">
        <f>B409-C409</f>
      </c>
      <c r="G409" s="12"/>
      <c r="H409" s="13"/>
    </row>
    <row x14ac:dyDescent="0.25" r="410" customHeight="1" ht="18.75">
      <c r="A410" s="9">
        <v>45224</v>
      </c>
      <c r="B410" s="14">
        <f>COUNTIFS(Table1[Date],Sheet1!$A410,Table1[Sentiment V1],Sheet1!B$1)</f>
      </c>
      <c r="C410" s="14">
        <f>COUNTIFS(Table1[Date],Sheet1!$A410,Table1[Sentiment V1],Sheet1!C$1)</f>
      </c>
      <c r="D410" s="14">
        <f>COUNTIFS(Table1[Date],Sheet1!$A410,Table1[Sentiment V1],Sheet1!D$1)</f>
      </c>
      <c r="E410" s="16">
        <f>SUMIFS(Sheet2!B:B,Sheet2!A:A,Sheet1!A410)</f>
      </c>
      <c r="F410" s="14">
        <f>B410-C410</f>
      </c>
      <c r="G410" s="12"/>
      <c r="H410" s="13"/>
    </row>
    <row x14ac:dyDescent="0.25" r="411" customHeight="1" ht="18.75">
      <c r="A411" s="9">
        <v>45222</v>
      </c>
      <c r="B411" s="14">
        <f>COUNTIFS(Table1[Date],Sheet1!$A411,Table1[Sentiment V1],Sheet1!B$1)</f>
      </c>
      <c r="C411" s="14">
        <f>COUNTIFS(Table1[Date],Sheet1!$A411,Table1[Sentiment V1],Sheet1!C$1)</f>
      </c>
      <c r="D411" s="14">
        <f>COUNTIFS(Table1[Date],Sheet1!$A411,Table1[Sentiment V1],Sheet1!D$1)</f>
      </c>
      <c r="E411" s="16">
        <f>SUMIFS(Sheet2!B:B,Sheet2!A:A,Sheet1!A411)</f>
      </c>
      <c r="F411" s="14">
        <f>B411-C411</f>
      </c>
      <c r="G411" s="12"/>
      <c r="H411" s="13"/>
    </row>
    <row x14ac:dyDescent="0.25" r="412" customHeight="1" ht="18.75">
      <c r="A412" s="9">
        <v>45217</v>
      </c>
      <c r="B412" s="14">
        <f>COUNTIFS(Table1[Date],Sheet1!$A412,Table1[Sentiment V1],Sheet1!B$1)</f>
      </c>
      <c r="C412" s="14">
        <f>COUNTIFS(Table1[Date],Sheet1!$A412,Table1[Sentiment V1],Sheet1!C$1)</f>
      </c>
      <c r="D412" s="14">
        <f>COUNTIFS(Table1[Date],Sheet1!$A412,Table1[Sentiment V1],Sheet1!D$1)</f>
      </c>
      <c r="E412" s="16">
        <f>SUMIFS(Sheet2!B:B,Sheet2!A:A,Sheet1!A412)</f>
      </c>
      <c r="F412" s="14">
        <f>B412-C412</f>
      </c>
      <c r="G412" s="12"/>
      <c r="H412" s="13"/>
    </row>
    <row x14ac:dyDescent="0.25" r="413" customHeight="1" ht="18.75">
      <c r="A413" s="9">
        <v>45215</v>
      </c>
      <c r="B413" s="14">
        <f>COUNTIFS(Table1[Date],Sheet1!$A413,Table1[Sentiment V1],Sheet1!B$1)</f>
      </c>
      <c r="C413" s="14">
        <f>COUNTIFS(Table1[Date],Sheet1!$A413,Table1[Sentiment V1],Sheet1!C$1)</f>
      </c>
      <c r="D413" s="14">
        <f>COUNTIFS(Table1[Date],Sheet1!$A413,Table1[Sentiment V1],Sheet1!D$1)</f>
      </c>
      <c r="E413" s="16">
        <f>SUMIFS(Sheet2!B:B,Sheet2!A:A,Sheet1!A413)</f>
      </c>
      <c r="F413" s="14">
        <f>B413-C413</f>
      </c>
      <c r="G413" s="12"/>
      <c r="H413" s="13"/>
    </row>
    <row x14ac:dyDescent="0.25" r="414" customHeight="1" ht="18.75">
      <c r="A414" s="9">
        <v>45212</v>
      </c>
      <c r="B414" s="14">
        <f>COUNTIFS(Table1[Date],Sheet1!$A414,Table1[Sentiment V1],Sheet1!B$1)</f>
      </c>
      <c r="C414" s="14">
        <f>COUNTIFS(Table1[Date],Sheet1!$A414,Table1[Sentiment V1],Sheet1!C$1)</f>
      </c>
      <c r="D414" s="14">
        <f>COUNTIFS(Table1[Date],Sheet1!$A414,Table1[Sentiment V1],Sheet1!D$1)</f>
      </c>
      <c r="E414" s="16">
        <f>SUMIFS(Sheet2!B:B,Sheet2!A:A,Sheet1!A414)</f>
      </c>
      <c r="F414" s="14">
        <f>B414-C414</f>
      </c>
      <c r="G414" s="12"/>
      <c r="H414" s="13"/>
    </row>
    <row x14ac:dyDescent="0.25" r="415" customHeight="1" ht="18.75">
      <c r="A415" s="9">
        <v>45210</v>
      </c>
      <c r="B415" s="14">
        <f>COUNTIFS(Table1[Date],Sheet1!$A415,Table1[Sentiment V1],Sheet1!B$1)</f>
      </c>
      <c r="C415" s="14">
        <f>COUNTIFS(Table1[Date],Sheet1!$A415,Table1[Sentiment V1],Sheet1!C$1)</f>
      </c>
      <c r="D415" s="14">
        <f>COUNTIFS(Table1[Date],Sheet1!$A415,Table1[Sentiment V1],Sheet1!D$1)</f>
      </c>
      <c r="E415" s="16">
        <f>SUMIFS(Sheet2!B:B,Sheet2!A:A,Sheet1!A415)</f>
      </c>
      <c r="F415" s="14">
        <f>B415-C415</f>
      </c>
      <c r="G415" s="12"/>
      <c r="H415" s="13"/>
    </row>
    <row x14ac:dyDescent="0.25" r="416" customHeight="1" ht="18.75">
      <c r="A416" s="9">
        <v>45208</v>
      </c>
      <c r="B416" s="14">
        <f>COUNTIFS(Table1[Date],Sheet1!$A416,Table1[Sentiment V1],Sheet1!B$1)</f>
      </c>
      <c r="C416" s="14">
        <f>COUNTIFS(Table1[Date],Sheet1!$A416,Table1[Sentiment V1],Sheet1!C$1)</f>
      </c>
      <c r="D416" s="14">
        <f>COUNTIFS(Table1[Date],Sheet1!$A416,Table1[Sentiment V1],Sheet1!D$1)</f>
      </c>
      <c r="E416" s="16">
        <f>SUMIFS(Sheet2!B:B,Sheet2!A:A,Sheet1!A416)</f>
      </c>
      <c r="F416" s="14">
        <f>B416-C416</f>
      </c>
      <c r="G416" s="12"/>
      <c r="H416" s="13"/>
    </row>
    <row x14ac:dyDescent="0.25" r="417" customHeight="1" ht="18.75">
      <c r="A417" s="9">
        <v>45197</v>
      </c>
      <c r="B417" s="14">
        <f>COUNTIFS(Table1[Date],Sheet1!$A417,Table1[Sentiment V1],Sheet1!B$1)</f>
      </c>
      <c r="C417" s="14">
        <f>COUNTIFS(Table1[Date],Sheet1!$A417,Table1[Sentiment V1],Sheet1!C$1)</f>
      </c>
      <c r="D417" s="14">
        <f>COUNTIFS(Table1[Date],Sheet1!$A417,Table1[Sentiment V1],Sheet1!D$1)</f>
      </c>
      <c r="E417" s="16">
        <f>SUMIFS(Sheet2!B:B,Sheet2!A:A,Sheet1!A417)</f>
      </c>
      <c r="F417" s="14">
        <f>B417-C417</f>
      </c>
      <c r="G417" s="12"/>
      <c r="H417" s="13"/>
    </row>
    <row x14ac:dyDescent="0.25" r="418" customHeight="1" ht="18.75">
      <c r="A418" s="9">
        <v>45196</v>
      </c>
      <c r="B418" s="14">
        <f>COUNTIFS(Table1[Date],Sheet1!$A418,Table1[Sentiment V1],Sheet1!B$1)</f>
      </c>
      <c r="C418" s="14">
        <f>COUNTIFS(Table1[Date],Sheet1!$A418,Table1[Sentiment V1],Sheet1!C$1)</f>
      </c>
      <c r="D418" s="14">
        <f>COUNTIFS(Table1[Date],Sheet1!$A418,Table1[Sentiment V1],Sheet1!D$1)</f>
      </c>
      <c r="E418" s="16">
        <f>SUMIFS(Sheet2!B:B,Sheet2!A:A,Sheet1!A418)</f>
      </c>
      <c r="F418" s="14">
        <f>B418-C418</f>
      </c>
      <c r="G418" s="12"/>
      <c r="H418" s="13"/>
    </row>
    <row x14ac:dyDescent="0.25" r="419" customHeight="1" ht="18.75" hidden="1">
      <c r="A419" s="9">
        <v>45193</v>
      </c>
      <c r="B419" s="14">
        <f>COUNTIFS(Table1[Date],Sheet1!$A419,Table1[Sentiment V1],Sheet1!B$1)</f>
      </c>
      <c r="C419" s="14">
        <f>COUNTIFS(Table1[Date],Sheet1!$A419,Table1[Sentiment V1],Sheet1!C$1)</f>
      </c>
      <c r="D419" s="14">
        <f>COUNTIFS(Table1[Date],Sheet1!$A419,Table1[Sentiment V1],Sheet1!D$1)</f>
      </c>
      <c r="E419" s="15">
        <f>SUMIFS(Sheet2!B:B,Sheet2!A:A,Sheet1!A419)</f>
      </c>
      <c r="F419" s="14">
        <f>B419-C419</f>
      </c>
      <c r="G419" s="12"/>
      <c r="H419" s="13"/>
    </row>
    <row x14ac:dyDescent="0.25" r="420" customHeight="1" ht="18.75" hidden="1">
      <c r="A420" s="9">
        <v>45192</v>
      </c>
      <c r="B420" s="14">
        <f>COUNTIFS(Table1[Date],Sheet1!$A420,Table1[Sentiment V1],Sheet1!B$1)</f>
      </c>
      <c r="C420" s="14">
        <f>COUNTIFS(Table1[Date],Sheet1!$A420,Table1[Sentiment V1],Sheet1!C$1)</f>
      </c>
      <c r="D420" s="14">
        <f>COUNTIFS(Table1[Date],Sheet1!$A420,Table1[Sentiment V1],Sheet1!D$1)</f>
      </c>
      <c r="E420" s="15">
        <f>SUMIFS(Sheet2!B:B,Sheet2!A:A,Sheet1!A420)</f>
      </c>
      <c r="F420" s="14">
        <f>B420-C420</f>
      </c>
      <c r="G420" s="12"/>
      <c r="H420" s="13"/>
    </row>
    <row x14ac:dyDescent="0.25" r="421" customHeight="1" ht="18.75">
      <c r="A421" s="9">
        <v>45191</v>
      </c>
      <c r="B421" s="14">
        <f>COUNTIFS(Table1[Date],Sheet1!$A421,Table1[Sentiment V1],Sheet1!B$1)</f>
      </c>
      <c r="C421" s="14">
        <f>COUNTIFS(Table1[Date],Sheet1!$A421,Table1[Sentiment V1],Sheet1!C$1)</f>
      </c>
      <c r="D421" s="14">
        <f>COUNTIFS(Table1[Date],Sheet1!$A421,Table1[Sentiment V1],Sheet1!D$1)</f>
      </c>
      <c r="E421" s="16">
        <f>SUMIFS(Sheet2!B:B,Sheet2!A:A,Sheet1!A421)</f>
      </c>
      <c r="F421" s="14">
        <f>B421-C421</f>
      </c>
      <c r="G421" s="12"/>
      <c r="H421" s="13"/>
    </row>
    <row x14ac:dyDescent="0.25" r="422" customHeight="1" ht="18.75">
      <c r="A422" s="9">
        <v>45189</v>
      </c>
      <c r="B422" s="14">
        <f>COUNTIFS(Table1[Date],Sheet1!$A422,Table1[Sentiment V1],Sheet1!B$1)</f>
      </c>
      <c r="C422" s="14">
        <f>COUNTIFS(Table1[Date],Sheet1!$A422,Table1[Sentiment V1],Sheet1!C$1)</f>
      </c>
      <c r="D422" s="14">
        <f>COUNTIFS(Table1[Date],Sheet1!$A422,Table1[Sentiment V1],Sheet1!D$1)</f>
      </c>
      <c r="E422" s="16">
        <f>SUMIFS(Sheet2!B:B,Sheet2!A:A,Sheet1!A422)</f>
      </c>
      <c r="F422" s="14">
        <f>B422-C422</f>
      </c>
      <c r="G422" s="12"/>
      <c r="H422" s="13"/>
    </row>
    <row x14ac:dyDescent="0.25" r="423" customHeight="1" ht="18.75">
      <c r="A423" s="9">
        <v>45188</v>
      </c>
      <c r="B423" s="14">
        <f>COUNTIFS(Table1[Date],Sheet1!$A423,Table1[Sentiment V1],Sheet1!B$1)</f>
      </c>
      <c r="C423" s="14">
        <f>COUNTIFS(Table1[Date],Sheet1!$A423,Table1[Sentiment V1],Sheet1!C$1)</f>
      </c>
      <c r="D423" s="14">
        <f>COUNTIFS(Table1[Date],Sheet1!$A423,Table1[Sentiment V1],Sheet1!D$1)</f>
      </c>
      <c r="E423" s="16">
        <f>SUMIFS(Sheet2!B:B,Sheet2!A:A,Sheet1!A423)</f>
      </c>
      <c r="F423" s="14">
        <f>B423-C423</f>
      </c>
      <c r="G423" s="12"/>
      <c r="H423" s="13"/>
    </row>
    <row x14ac:dyDescent="0.25" r="424" customHeight="1" ht="18.75">
      <c r="A424" s="9">
        <v>45187</v>
      </c>
      <c r="B424" s="14">
        <f>COUNTIFS(Table1[Date],Sheet1!$A424,Table1[Sentiment V1],Sheet1!B$1)</f>
      </c>
      <c r="C424" s="14">
        <f>COUNTIFS(Table1[Date],Sheet1!$A424,Table1[Sentiment V1],Sheet1!C$1)</f>
      </c>
      <c r="D424" s="14">
        <f>COUNTIFS(Table1[Date],Sheet1!$A424,Table1[Sentiment V1],Sheet1!D$1)</f>
      </c>
      <c r="E424" s="16">
        <f>SUMIFS(Sheet2!B:B,Sheet2!A:A,Sheet1!A424)</f>
      </c>
      <c r="F424" s="14">
        <f>B424-C424</f>
      </c>
      <c r="G424" s="12"/>
      <c r="H424" s="13"/>
    </row>
    <row x14ac:dyDescent="0.25" r="425" customHeight="1" ht="18.75">
      <c r="A425" s="9">
        <v>45183</v>
      </c>
      <c r="B425" s="14">
        <f>COUNTIFS(Table1[Date],Sheet1!$A425,Table1[Sentiment V1],Sheet1!B$1)</f>
      </c>
      <c r="C425" s="14">
        <f>COUNTIFS(Table1[Date],Sheet1!$A425,Table1[Sentiment V1],Sheet1!C$1)</f>
      </c>
      <c r="D425" s="14">
        <f>COUNTIFS(Table1[Date],Sheet1!$A425,Table1[Sentiment V1],Sheet1!D$1)</f>
      </c>
      <c r="E425" s="16">
        <f>SUMIFS(Sheet2!B:B,Sheet2!A:A,Sheet1!A425)</f>
      </c>
      <c r="F425" s="14">
        <f>B425-C425</f>
      </c>
      <c r="G425" s="12"/>
      <c r="H425" s="13"/>
    </row>
    <row x14ac:dyDescent="0.25" r="426" customHeight="1" ht="18.75">
      <c r="A426" s="9">
        <v>45177</v>
      </c>
      <c r="B426" s="14">
        <f>COUNTIFS(Table1[Date],Sheet1!$A426,Table1[Sentiment V1],Sheet1!B$1)</f>
      </c>
      <c r="C426" s="14">
        <f>COUNTIFS(Table1[Date],Sheet1!$A426,Table1[Sentiment V1],Sheet1!C$1)</f>
      </c>
      <c r="D426" s="14">
        <f>COUNTIFS(Table1[Date],Sheet1!$A426,Table1[Sentiment V1],Sheet1!D$1)</f>
      </c>
      <c r="E426" s="16">
        <f>SUMIFS(Sheet2!B:B,Sheet2!A:A,Sheet1!A426)</f>
      </c>
      <c r="F426" s="14">
        <f>B426-C426</f>
      </c>
      <c r="G426" s="12"/>
      <c r="H426" s="13"/>
    </row>
    <row x14ac:dyDescent="0.25" r="427" customHeight="1" ht="18.75">
      <c r="A427" s="9">
        <v>45174</v>
      </c>
      <c r="B427" s="14">
        <f>COUNTIFS(Table1[Date],Sheet1!$A427,Table1[Sentiment V1],Sheet1!B$1)</f>
      </c>
      <c r="C427" s="14">
        <f>COUNTIFS(Table1[Date],Sheet1!$A427,Table1[Sentiment V1],Sheet1!C$1)</f>
      </c>
      <c r="D427" s="14">
        <f>COUNTIFS(Table1[Date],Sheet1!$A427,Table1[Sentiment V1],Sheet1!D$1)</f>
      </c>
      <c r="E427" s="16">
        <f>SUMIFS(Sheet2!B:B,Sheet2!A:A,Sheet1!A427)</f>
      </c>
      <c r="F427" s="14">
        <f>B427-C427</f>
      </c>
      <c r="G427" s="12"/>
      <c r="H427" s="13"/>
    </row>
    <row x14ac:dyDescent="0.25" r="428" customHeight="1" ht="18.75">
      <c r="A428" s="9">
        <v>45170</v>
      </c>
      <c r="B428" s="14">
        <f>COUNTIFS(Table1[Date],Sheet1!$A428,Table1[Sentiment V1],Sheet1!B$1)</f>
      </c>
      <c r="C428" s="14">
        <f>COUNTIFS(Table1[Date],Sheet1!$A428,Table1[Sentiment V1],Sheet1!C$1)</f>
      </c>
      <c r="D428" s="14">
        <f>COUNTIFS(Table1[Date],Sheet1!$A428,Table1[Sentiment V1],Sheet1!D$1)</f>
      </c>
      <c r="E428" s="16">
        <f>SUMIFS(Sheet2!B:B,Sheet2!A:A,Sheet1!A428)</f>
      </c>
      <c r="F428" s="14">
        <f>B428-C428</f>
      </c>
      <c r="G428" s="12"/>
      <c r="H428" s="13"/>
    </row>
    <row x14ac:dyDescent="0.25" r="429" customHeight="1" ht="18.75">
      <c r="A429" s="9">
        <v>45154</v>
      </c>
      <c r="B429" s="14">
        <f>COUNTIFS(Table1[Date],Sheet1!$A429,Table1[Sentiment V1],Sheet1!B$1)</f>
      </c>
      <c r="C429" s="14">
        <f>COUNTIFS(Table1[Date],Sheet1!$A429,Table1[Sentiment V1],Sheet1!C$1)</f>
      </c>
      <c r="D429" s="14">
        <f>COUNTIFS(Table1[Date],Sheet1!$A429,Table1[Sentiment V1],Sheet1!D$1)</f>
      </c>
      <c r="E429" s="16">
        <f>SUMIFS(Sheet2!B:B,Sheet2!A:A,Sheet1!A429)</f>
      </c>
      <c r="F429" s="14">
        <f>B429-C429</f>
      </c>
      <c r="G429" s="12"/>
      <c r="H429" s="13"/>
    </row>
    <row x14ac:dyDescent="0.25" r="430" customHeight="1" ht="18.75">
      <c r="A430" s="9">
        <v>45152</v>
      </c>
      <c r="B430" s="14">
        <f>COUNTIFS(Table1[Date],Sheet1!$A430,Table1[Sentiment V1],Sheet1!B$1)</f>
      </c>
      <c r="C430" s="14">
        <f>COUNTIFS(Table1[Date],Sheet1!$A430,Table1[Sentiment V1],Sheet1!C$1)</f>
      </c>
      <c r="D430" s="14">
        <f>COUNTIFS(Table1[Date],Sheet1!$A430,Table1[Sentiment V1],Sheet1!D$1)</f>
      </c>
      <c r="E430" s="16">
        <f>SUMIFS(Sheet2!B:B,Sheet2!A:A,Sheet1!A430)</f>
      </c>
      <c r="F430" s="14">
        <f>B430-C430</f>
      </c>
      <c r="G430" s="12"/>
      <c r="H430" s="13"/>
    </row>
    <row x14ac:dyDescent="0.25" r="431" customHeight="1" ht="18.75" hidden="1">
      <c r="A431" s="9">
        <v>45151</v>
      </c>
      <c r="B431" s="14">
        <f>COUNTIFS(Table1[Date],Sheet1!$A431,Table1[Sentiment V1],Sheet1!B$1)</f>
      </c>
      <c r="C431" s="14">
        <f>COUNTIFS(Table1[Date],Sheet1!$A431,Table1[Sentiment V1],Sheet1!C$1)</f>
      </c>
      <c r="D431" s="14">
        <f>COUNTIFS(Table1[Date],Sheet1!$A431,Table1[Sentiment V1],Sheet1!D$1)</f>
      </c>
      <c r="E431" s="15">
        <f>SUMIFS(Sheet2!B:B,Sheet2!A:A,Sheet1!A431)</f>
      </c>
      <c r="F431" s="14">
        <f>B431-C431</f>
      </c>
      <c r="G431" s="12"/>
      <c r="H431" s="13"/>
    </row>
    <row x14ac:dyDescent="0.25" r="432" customHeight="1" ht="18.75">
      <c r="A432" s="9">
        <v>45148</v>
      </c>
      <c r="B432" s="14">
        <f>COUNTIFS(Table1[Date],Sheet1!$A432,Table1[Sentiment V1],Sheet1!B$1)</f>
      </c>
      <c r="C432" s="14">
        <f>COUNTIFS(Table1[Date],Sheet1!$A432,Table1[Sentiment V1],Sheet1!C$1)</f>
      </c>
      <c r="D432" s="14">
        <f>COUNTIFS(Table1[Date],Sheet1!$A432,Table1[Sentiment V1],Sheet1!D$1)</f>
      </c>
      <c r="E432" s="16">
        <f>SUMIFS(Sheet2!B:B,Sheet2!A:A,Sheet1!A432)</f>
      </c>
      <c r="F432" s="14">
        <f>B432-C432</f>
      </c>
      <c r="G432" s="12"/>
      <c r="H432" s="13"/>
    </row>
    <row x14ac:dyDescent="0.25" r="433" customHeight="1" ht="18.75">
      <c r="A433" s="9">
        <v>45146</v>
      </c>
      <c r="B433" s="14">
        <f>COUNTIFS(Table1[Date],Sheet1!$A433,Table1[Sentiment V1],Sheet1!B$1)</f>
      </c>
      <c r="C433" s="14">
        <f>COUNTIFS(Table1[Date],Sheet1!$A433,Table1[Sentiment V1],Sheet1!C$1)</f>
      </c>
      <c r="D433" s="14">
        <f>COUNTIFS(Table1[Date],Sheet1!$A433,Table1[Sentiment V1],Sheet1!D$1)</f>
      </c>
      <c r="E433" s="16">
        <f>SUMIFS(Sheet2!B:B,Sheet2!A:A,Sheet1!A433)</f>
      </c>
      <c r="F433" s="14">
        <f>B433-C433</f>
      </c>
      <c r="G433" s="12"/>
      <c r="H433" s="13"/>
    </row>
    <row x14ac:dyDescent="0.25" r="434" customHeight="1" ht="18.75" hidden="1">
      <c r="A434" s="9">
        <v>45144</v>
      </c>
      <c r="B434" s="14">
        <f>COUNTIFS(Table1[Date],Sheet1!$A434,Table1[Sentiment V1],Sheet1!B$1)</f>
      </c>
      <c r="C434" s="14">
        <f>COUNTIFS(Table1[Date],Sheet1!$A434,Table1[Sentiment V1],Sheet1!C$1)</f>
      </c>
      <c r="D434" s="14">
        <f>COUNTIFS(Table1[Date],Sheet1!$A434,Table1[Sentiment V1],Sheet1!D$1)</f>
      </c>
      <c r="E434" s="15">
        <f>SUMIFS(Sheet2!B:B,Sheet2!A:A,Sheet1!A434)</f>
      </c>
      <c r="F434" s="14">
        <f>B434-C434</f>
      </c>
      <c r="G434" s="12"/>
      <c r="H434" s="13"/>
    </row>
    <row x14ac:dyDescent="0.25" r="435" customHeight="1" ht="18.75">
      <c r="A435" s="9">
        <v>45138</v>
      </c>
      <c r="B435" s="14">
        <f>COUNTIFS(Table1[Date],Sheet1!$A435,Table1[Sentiment V1],Sheet1!B$1)</f>
      </c>
      <c r="C435" s="14">
        <f>COUNTIFS(Table1[Date],Sheet1!$A435,Table1[Sentiment V1],Sheet1!C$1)</f>
      </c>
      <c r="D435" s="14">
        <f>COUNTIFS(Table1[Date],Sheet1!$A435,Table1[Sentiment V1],Sheet1!D$1)</f>
      </c>
      <c r="E435" s="16">
        <f>SUMIFS(Sheet2!B:B,Sheet2!A:A,Sheet1!A435)</f>
      </c>
      <c r="F435" s="14">
        <f>B435-C435</f>
      </c>
      <c r="G435" s="12"/>
      <c r="H435" s="13"/>
    </row>
    <row x14ac:dyDescent="0.25" r="436" customHeight="1" ht="18.75">
      <c r="A436" s="9">
        <v>45134</v>
      </c>
      <c r="B436" s="14">
        <f>COUNTIFS(Table1[Date],Sheet1!$A436,Table1[Sentiment V1],Sheet1!B$1)</f>
      </c>
      <c r="C436" s="14">
        <f>COUNTIFS(Table1[Date],Sheet1!$A436,Table1[Sentiment V1],Sheet1!C$1)</f>
      </c>
      <c r="D436" s="14">
        <f>COUNTIFS(Table1[Date],Sheet1!$A436,Table1[Sentiment V1],Sheet1!D$1)</f>
      </c>
      <c r="E436" s="16">
        <f>SUMIFS(Sheet2!B:B,Sheet2!A:A,Sheet1!A436)</f>
      </c>
      <c r="F436" s="14">
        <f>B436-C436</f>
      </c>
      <c r="G436" s="12"/>
      <c r="H436" s="13"/>
    </row>
    <row x14ac:dyDescent="0.25" r="437" customHeight="1" ht="18.75">
      <c r="A437" s="9">
        <v>45131</v>
      </c>
      <c r="B437" s="14">
        <f>COUNTIFS(Table1[Date],Sheet1!$A437,Table1[Sentiment V1],Sheet1!B$1)</f>
      </c>
      <c r="C437" s="14">
        <f>COUNTIFS(Table1[Date],Sheet1!$A437,Table1[Sentiment V1],Sheet1!C$1)</f>
      </c>
      <c r="D437" s="14">
        <f>COUNTIFS(Table1[Date],Sheet1!$A437,Table1[Sentiment V1],Sheet1!D$1)</f>
      </c>
      <c r="E437" s="16">
        <f>SUMIFS(Sheet2!B:B,Sheet2!A:A,Sheet1!A437)</f>
      </c>
      <c r="F437" s="14">
        <f>B437-C437</f>
      </c>
      <c r="G437" s="12"/>
      <c r="H437" s="13"/>
    </row>
    <row x14ac:dyDescent="0.25" r="438" customHeight="1" ht="18.75">
      <c r="A438" s="9">
        <v>45128</v>
      </c>
      <c r="B438" s="14">
        <f>COUNTIFS(Table1[Date],Sheet1!$A438,Table1[Sentiment V1],Sheet1!B$1)</f>
      </c>
      <c r="C438" s="14">
        <f>COUNTIFS(Table1[Date],Sheet1!$A438,Table1[Sentiment V1],Sheet1!C$1)</f>
      </c>
      <c r="D438" s="14">
        <f>COUNTIFS(Table1[Date],Sheet1!$A438,Table1[Sentiment V1],Sheet1!D$1)</f>
      </c>
      <c r="E438" s="16">
        <f>SUMIFS(Sheet2!B:B,Sheet2!A:A,Sheet1!A438)</f>
      </c>
      <c r="F438" s="14">
        <f>B438-C438</f>
      </c>
      <c r="G438" s="12"/>
      <c r="H438" s="13"/>
    </row>
    <row x14ac:dyDescent="0.25" r="439" customHeight="1" ht="18.75">
      <c r="A439" s="9">
        <v>45127</v>
      </c>
      <c r="B439" s="14">
        <f>COUNTIFS(Table1[Date],Sheet1!$A439,Table1[Sentiment V1],Sheet1!B$1)</f>
      </c>
      <c r="C439" s="14">
        <f>COUNTIFS(Table1[Date],Sheet1!$A439,Table1[Sentiment V1],Sheet1!C$1)</f>
      </c>
      <c r="D439" s="14">
        <f>COUNTIFS(Table1[Date],Sheet1!$A439,Table1[Sentiment V1],Sheet1!D$1)</f>
      </c>
      <c r="E439" s="16">
        <f>SUMIFS(Sheet2!B:B,Sheet2!A:A,Sheet1!A439)</f>
      </c>
      <c r="F439" s="14">
        <f>B439-C439</f>
      </c>
      <c r="G439" s="12"/>
      <c r="H439" s="13"/>
    </row>
    <row x14ac:dyDescent="0.25" r="440" customHeight="1" ht="18.75">
      <c r="A440" s="9">
        <v>45126</v>
      </c>
      <c r="B440" s="14">
        <f>COUNTIFS(Table1[Date],Sheet1!$A440,Table1[Sentiment V1],Sheet1!B$1)</f>
      </c>
      <c r="C440" s="14">
        <f>COUNTIFS(Table1[Date],Sheet1!$A440,Table1[Sentiment V1],Sheet1!C$1)</f>
      </c>
      <c r="D440" s="14">
        <f>COUNTIFS(Table1[Date],Sheet1!$A440,Table1[Sentiment V1],Sheet1!D$1)</f>
      </c>
      <c r="E440" s="16">
        <f>SUMIFS(Sheet2!B:B,Sheet2!A:A,Sheet1!A440)</f>
      </c>
      <c r="F440" s="14">
        <f>B440-C440</f>
      </c>
      <c r="G440" s="12"/>
      <c r="H440" s="13"/>
    </row>
    <row x14ac:dyDescent="0.25" r="441" customHeight="1" ht="18.75">
      <c r="A441" s="9">
        <v>45114</v>
      </c>
      <c r="B441" s="14">
        <f>COUNTIFS(Table1[Date],Sheet1!$A441,Table1[Sentiment V1],Sheet1!B$1)</f>
      </c>
      <c r="C441" s="14">
        <f>COUNTIFS(Table1[Date],Sheet1!$A441,Table1[Sentiment V1],Sheet1!C$1)</f>
      </c>
      <c r="D441" s="14">
        <f>COUNTIFS(Table1[Date],Sheet1!$A441,Table1[Sentiment V1],Sheet1!D$1)</f>
      </c>
      <c r="E441" s="16">
        <f>SUMIFS(Sheet2!B:B,Sheet2!A:A,Sheet1!A441)</f>
      </c>
      <c r="F441" s="14">
        <f>B441-C441</f>
      </c>
      <c r="G441" s="12"/>
      <c r="H441" s="13"/>
    </row>
    <row x14ac:dyDescent="0.25" r="442" customHeight="1" ht="18.75">
      <c r="A442" s="9">
        <v>45112</v>
      </c>
      <c r="B442" s="14">
        <f>COUNTIFS(Table1[Date],Sheet1!$A442,Table1[Sentiment V1],Sheet1!B$1)</f>
      </c>
      <c r="C442" s="14">
        <f>COUNTIFS(Table1[Date],Sheet1!$A442,Table1[Sentiment V1],Sheet1!C$1)</f>
      </c>
      <c r="D442" s="14">
        <f>COUNTIFS(Table1[Date],Sheet1!$A442,Table1[Sentiment V1],Sheet1!D$1)</f>
      </c>
      <c r="E442" s="16">
        <f>SUMIFS(Sheet2!B:B,Sheet2!A:A,Sheet1!A442)</f>
      </c>
      <c r="F442" s="14">
        <f>B442-C442</f>
      </c>
      <c r="G442" s="12"/>
      <c r="H442" s="13"/>
    </row>
    <row x14ac:dyDescent="0.25" r="443" customHeight="1" ht="18.75">
      <c r="A443" s="9">
        <v>45099</v>
      </c>
      <c r="B443" s="14">
        <f>COUNTIFS(Table1[Date],Sheet1!$A443,Table1[Sentiment V1],Sheet1!B$1)</f>
      </c>
      <c r="C443" s="14">
        <f>COUNTIFS(Table1[Date],Sheet1!$A443,Table1[Sentiment V1],Sheet1!C$1)</f>
      </c>
      <c r="D443" s="14">
        <f>COUNTIFS(Table1[Date],Sheet1!$A443,Table1[Sentiment V1],Sheet1!D$1)</f>
      </c>
      <c r="E443" s="16">
        <f>SUMIFS(Sheet2!B:B,Sheet2!A:A,Sheet1!A443)</f>
      </c>
      <c r="F443" s="14">
        <f>B443-C443</f>
      </c>
      <c r="G443" s="12"/>
      <c r="H443" s="13"/>
    </row>
    <row x14ac:dyDescent="0.25" r="444" customHeight="1" ht="18.75">
      <c r="A444" s="9">
        <v>45097</v>
      </c>
      <c r="B444" s="14">
        <f>COUNTIFS(Table1[Date],Sheet1!$A444,Table1[Sentiment V1],Sheet1!B$1)</f>
      </c>
      <c r="C444" s="14">
        <f>COUNTIFS(Table1[Date],Sheet1!$A444,Table1[Sentiment V1],Sheet1!C$1)</f>
      </c>
      <c r="D444" s="14">
        <f>COUNTIFS(Table1[Date],Sheet1!$A444,Table1[Sentiment V1],Sheet1!D$1)</f>
      </c>
      <c r="E444" s="16">
        <f>SUMIFS(Sheet2!B:B,Sheet2!A:A,Sheet1!A444)</f>
      </c>
      <c r="F444" s="14">
        <f>B444-C444</f>
      </c>
      <c r="G444" s="12"/>
      <c r="H444" s="13"/>
    </row>
    <row x14ac:dyDescent="0.25" r="445" customHeight="1" ht="18.75">
      <c r="A445" s="9">
        <v>45090</v>
      </c>
      <c r="B445" s="14">
        <f>COUNTIFS(Table1[Date],Sheet1!$A445,Table1[Sentiment V1],Sheet1!B$1)</f>
      </c>
      <c r="C445" s="14">
        <f>COUNTIFS(Table1[Date],Sheet1!$A445,Table1[Sentiment V1],Sheet1!C$1)</f>
      </c>
      <c r="D445" s="14">
        <f>COUNTIFS(Table1[Date],Sheet1!$A445,Table1[Sentiment V1],Sheet1!D$1)</f>
      </c>
      <c r="E445" s="16">
        <f>SUMIFS(Sheet2!B:B,Sheet2!A:A,Sheet1!A445)</f>
      </c>
      <c r="F445" s="14">
        <f>B445-C445</f>
      </c>
      <c r="G445" s="12"/>
      <c r="H445" s="13"/>
    </row>
    <row x14ac:dyDescent="0.25" r="446" customHeight="1" ht="18.75">
      <c r="A446" s="9">
        <v>45086</v>
      </c>
      <c r="B446" s="14">
        <f>COUNTIFS(Table1[Date],Sheet1!$A446,Table1[Sentiment V1],Sheet1!B$1)</f>
      </c>
      <c r="C446" s="14">
        <f>COUNTIFS(Table1[Date],Sheet1!$A446,Table1[Sentiment V1],Sheet1!C$1)</f>
      </c>
      <c r="D446" s="14">
        <f>COUNTIFS(Table1[Date],Sheet1!$A446,Table1[Sentiment V1],Sheet1!D$1)</f>
      </c>
      <c r="E446" s="16">
        <f>SUMIFS(Sheet2!B:B,Sheet2!A:A,Sheet1!A446)</f>
      </c>
      <c r="F446" s="14">
        <f>B446-C446</f>
      </c>
      <c r="G446" s="12"/>
      <c r="H446" s="13"/>
    </row>
    <row x14ac:dyDescent="0.25" r="447" customHeight="1" ht="18.75">
      <c r="A447" s="9">
        <v>45083</v>
      </c>
      <c r="B447" s="14">
        <f>COUNTIFS(Table1[Date],Sheet1!$A447,Table1[Sentiment V1],Sheet1!B$1)</f>
      </c>
      <c r="C447" s="14">
        <f>COUNTIFS(Table1[Date],Sheet1!$A447,Table1[Sentiment V1],Sheet1!C$1)</f>
      </c>
      <c r="D447" s="14">
        <f>COUNTIFS(Table1[Date],Sheet1!$A447,Table1[Sentiment V1],Sheet1!D$1)</f>
      </c>
      <c r="E447" s="16">
        <f>SUMIFS(Sheet2!B:B,Sheet2!A:A,Sheet1!A447)</f>
      </c>
      <c r="F447" s="14">
        <f>B447-C447</f>
      </c>
      <c r="G447" s="12"/>
      <c r="H447" s="13"/>
    </row>
    <row x14ac:dyDescent="0.25" r="448" customHeight="1" ht="18.75">
      <c r="A448" s="9">
        <v>45079</v>
      </c>
      <c r="B448" s="14">
        <f>COUNTIFS(Table1[Date],Sheet1!$A448,Table1[Sentiment V1],Sheet1!B$1)</f>
      </c>
      <c r="C448" s="14">
        <f>COUNTIFS(Table1[Date],Sheet1!$A448,Table1[Sentiment V1],Sheet1!C$1)</f>
      </c>
      <c r="D448" s="14">
        <f>COUNTIFS(Table1[Date],Sheet1!$A448,Table1[Sentiment V1],Sheet1!D$1)</f>
      </c>
      <c r="E448" s="16">
        <f>SUMIFS(Sheet2!B:B,Sheet2!A:A,Sheet1!A448)</f>
      </c>
      <c r="F448" s="14">
        <f>B448-C448</f>
      </c>
      <c r="G448" s="12"/>
      <c r="H448" s="13"/>
    </row>
    <row x14ac:dyDescent="0.25" r="449" customHeight="1" ht="18.75">
      <c r="A449" s="9">
        <v>45077</v>
      </c>
      <c r="B449" s="14">
        <f>COUNTIFS(Table1[Date],Sheet1!$A449,Table1[Sentiment V1],Sheet1!B$1)</f>
      </c>
      <c r="C449" s="14">
        <f>COUNTIFS(Table1[Date],Sheet1!$A449,Table1[Sentiment V1],Sheet1!C$1)</f>
      </c>
      <c r="D449" s="14">
        <f>COUNTIFS(Table1[Date],Sheet1!$A449,Table1[Sentiment V1],Sheet1!D$1)</f>
      </c>
      <c r="E449" s="16">
        <f>SUMIFS(Sheet2!B:B,Sheet2!A:A,Sheet1!A449)</f>
      </c>
      <c r="F449" s="14">
        <f>B449-C449</f>
      </c>
      <c r="G449" s="12"/>
      <c r="H449" s="13"/>
    </row>
    <row x14ac:dyDescent="0.25" r="450" customHeight="1" ht="18.75">
      <c r="A450" s="9">
        <v>45061</v>
      </c>
      <c r="B450" s="14">
        <f>COUNTIFS(Table1[Date],Sheet1!$A450,Table1[Sentiment V1],Sheet1!B$1)</f>
      </c>
      <c r="C450" s="14">
        <f>COUNTIFS(Table1[Date],Sheet1!$A450,Table1[Sentiment V1],Sheet1!C$1)</f>
      </c>
      <c r="D450" s="14">
        <f>COUNTIFS(Table1[Date],Sheet1!$A450,Table1[Sentiment V1],Sheet1!D$1)</f>
      </c>
      <c r="E450" s="16">
        <f>SUMIFS(Sheet2!B:B,Sheet2!A:A,Sheet1!A450)</f>
      </c>
      <c r="F450" s="14">
        <f>B450-C450</f>
      </c>
      <c r="G450" s="12"/>
      <c r="H450" s="13"/>
    </row>
    <row x14ac:dyDescent="0.25" r="451" customHeight="1" ht="18.75">
      <c r="A451" s="9">
        <v>45058</v>
      </c>
      <c r="B451" s="14">
        <f>COUNTIFS(Table1[Date],Sheet1!$A451,Table1[Sentiment V1],Sheet1!B$1)</f>
      </c>
      <c r="C451" s="14">
        <f>COUNTIFS(Table1[Date],Sheet1!$A451,Table1[Sentiment V1],Sheet1!C$1)</f>
      </c>
      <c r="D451" s="14">
        <f>COUNTIFS(Table1[Date],Sheet1!$A451,Table1[Sentiment V1],Sheet1!D$1)</f>
      </c>
      <c r="E451" s="16">
        <f>SUMIFS(Sheet2!B:B,Sheet2!A:A,Sheet1!A451)</f>
      </c>
      <c r="F451" s="14">
        <f>B451-C451</f>
      </c>
      <c r="G451" s="12"/>
      <c r="H451" s="13"/>
    </row>
    <row x14ac:dyDescent="0.25" r="452" customHeight="1" ht="18.75">
      <c r="A452" s="9">
        <v>45054</v>
      </c>
      <c r="B452" s="14">
        <f>COUNTIFS(Table1[Date],Sheet1!$A452,Table1[Sentiment V1],Sheet1!B$1)</f>
      </c>
      <c r="C452" s="14">
        <f>COUNTIFS(Table1[Date],Sheet1!$A452,Table1[Sentiment V1],Sheet1!C$1)</f>
      </c>
      <c r="D452" s="14">
        <f>COUNTIFS(Table1[Date],Sheet1!$A452,Table1[Sentiment V1],Sheet1!D$1)</f>
      </c>
      <c r="E452" s="16">
        <f>SUMIFS(Sheet2!B:B,Sheet2!A:A,Sheet1!A452)</f>
      </c>
      <c r="F452" s="14">
        <f>B452-C452</f>
      </c>
      <c r="G452" s="12"/>
      <c r="H452" s="13"/>
    </row>
    <row x14ac:dyDescent="0.25" r="453" customHeight="1" ht="18.75" hidden="1">
      <c r="A453" s="9">
        <v>45053</v>
      </c>
      <c r="B453" s="14">
        <f>COUNTIFS(Table1[Date],Sheet1!$A453,Table1[Sentiment V1],Sheet1!B$1)</f>
      </c>
      <c r="C453" s="14">
        <f>COUNTIFS(Table1[Date],Sheet1!$A453,Table1[Sentiment V1],Sheet1!C$1)</f>
      </c>
      <c r="D453" s="14">
        <f>COUNTIFS(Table1[Date],Sheet1!$A453,Table1[Sentiment V1],Sheet1!D$1)</f>
      </c>
      <c r="E453" s="15">
        <f>SUMIFS(Sheet2!B:B,Sheet2!A:A,Sheet1!A453)</f>
      </c>
      <c r="F453" s="14">
        <f>B453-C453</f>
      </c>
      <c r="G453" s="12"/>
      <c r="H453" s="13"/>
    </row>
    <row x14ac:dyDescent="0.25" r="454" customHeight="1" ht="18.75">
      <c r="A454" s="9">
        <v>45050</v>
      </c>
      <c r="B454" s="14">
        <f>COUNTIFS(Table1[Date],Sheet1!$A454,Table1[Sentiment V1],Sheet1!B$1)</f>
      </c>
      <c r="C454" s="14">
        <f>COUNTIFS(Table1[Date],Sheet1!$A454,Table1[Sentiment V1],Sheet1!C$1)</f>
      </c>
      <c r="D454" s="14">
        <f>COUNTIFS(Table1[Date],Sheet1!$A454,Table1[Sentiment V1],Sheet1!D$1)</f>
      </c>
      <c r="E454" s="16">
        <f>SUMIFS(Sheet2!B:B,Sheet2!A:A,Sheet1!A454)</f>
      </c>
      <c r="F454" s="14">
        <f>B454-C454</f>
      </c>
      <c r="G454" s="12"/>
      <c r="H454" s="13"/>
    </row>
    <row x14ac:dyDescent="0.25" r="455" customHeight="1" ht="18.75">
      <c r="A455" s="9">
        <v>45044</v>
      </c>
      <c r="B455" s="14">
        <f>COUNTIFS(Table1[Date],Sheet1!$A455,Table1[Sentiment V1],Sheet1!B$1)</f>
      </c>
      <c r="C455" s="14">
        <f>COUNTIFS(Table1[Date],Sheet1!$A455,Table1[Sentiment V1],Sheet1!C$1)</f>
      </c>
      <c r="D455" s="14">
        <f>COUNTIFS(Table1[Date],Sheet1!$A455,Table1[Sentiment V1],Sheet1!D$1)</f>
      </c>
      <c r="E455" s="16">
        <f>SUMIFS(Sheet2!B:B,Sheet2!A:A,Sheet1!A455)</f>
      </c>
      <c r="F455" s="14">
        <f>B455-C455</f>
      </c>
      <c r="G455" s="12"/>
      <c r="H455" s="13"/>
    </row>
    <row x14ac:dyDescent="0.25" r="456" customHeight="1" ht="18.75">
      <c r="A456" s="9">
        <v>45042</v>
      </c>
      <c r="B456" s="14">
        <f>COUNTIFS(Table1[Date],Sheet1!$A456,Table1[Sentiment V1],Sheet1!B$1)</f>
      </c>
      <c r="C456" s="14">
        <f>COUNTIFS(Table1[Date],Sheet1!$A456,Table1[Sentiment V1],Sheet1!C$1)</f>
      </c>
      <c r="D456" s="14">
        <f>COUNTIFS(Table1[Date],Sheet1!$A456,Table1[Sentiment V1],Sheet1!D$1)</f>
      </c>
      <c r="E456" s="16">
        <f>SUMIFS(Sheet2!B:B,Sheet2!A:A,Sheet1!A456)</f>
      </c>
      <c r="F456" s="14">
        <f>B456-C456</f>
      </c>
      <c r="G456" s="12"/>
      <c r="H456" s="13"/>
    </row>
    <row x14ac:dyDescent="0.25" r="457" customHeight="1" ht="18.75">
      <c r="A457" s="9">
        <v>45019</v>
      </c>
      <c r="B457" s="14">
        <f>COUNTIFS(Table1[Date],Sheet1!$A457,Table1[Sentiment V1],Sheet1!B$1)</f>
      </c>
      <c r="C457" s="14">
        <f>COUNTIFS(Table1[Date],Sheet1!$A457,Table1[Sentiment V1],Sheet1!C$1)</f>
      </c>
      <c r="D457" s="14">
        <f>COUNTIFS(Table1[Date],Sheet1!$A457,Table1[Sentiment V1],Sheet1!D$1)</f>
      </c>
      <c r="E457" s="16">
        <f>SUMIFS(Sheet2!B:B,Sheet2!A:A,Sheet1!A457)</f>
      </c>
      <c r="F457" s="14">
        <f>B457-C457</f>
      </c>
      <c r="G457" s="12"/>
      <c r="H457" s="13"/>
    </row>
    <row x14ac:dyDescent="0.25" r="458" customHeight="1" ht="18.75" hidden="1">
      <c r="A458" s="9">
        <v>45018</v>
      </c>
      <c r="B458" s="14">
        <f>COUNTIFS(Table1[Date],Sheet1!$A458,Table1[Sentiment V1],Sheet1!B$1)</f>
      </c>
      <c r="C458" s="14">
        <f>COUNTIFS(Table1[Date],Sheet1!$A458,Table1[Sentiment V1],Sheet1!C$1)</f>
      </c>
      <c r="D458" s="14">
        <f>COUNTIFS(Table1[Date],Sheet1!$A458,Table1[Sentiment V1],Sheet1!D$1)</f>
      </c>
      <c r="E458" s="15">
        <f>SUMIFS(Sheet2!B:B,Sheet2!A:A,Sheet1!A458)</f>
      </c>
      <c r="F458" s="14">
        <f>B458-C458</f>
      </c>
      <c r="G458" s="12"/>
      <c r="H458" s="13"/>
    </row>
    <row x14ac:dyDescent="0.25" r="459" customHeight="1" ht="18.75">
      <c r="A459" s="9">
        <v>45014</v>
      </c>
      <c r="B459" s="14">
        <f>COUNTIFS(Table1[Date],Sheet1!$A459,Table1[Sentiment V1],Sheet1!B$1)</f>
      </c>
      <c r="C459" s="14">
        <f>COUNTIFS(Table1[Date],Sheet1!$A459,Table1[Sentiment V1],Sheet1!C$1)</f>
      </c>
      <c r="D459" s="14">
        <f>COUNTIFS(Table1[Date],Sheet1!$A459,Table1[Sentiment V1],Sheet1!D$1)</f>
      </c>
      <c r="E459" s="16">
        <f>SUMIFS(Sheet2!B:B,Sheet2!A:A,Sheet1!A459)</f>
      </c>
      <c r="F459" s="14">
        <f>B459-C459</f>
      </c>
      <c r="G459" s="12"/>
      <c r="H459" s="13"/>
    </row>
    <row x14ac:dyDescent="0.25" r="460" customHeight="1" ht="18.75">
      <c r="A460" s="9">
        <v>45012</v>
      </c>
      <c r="B460" s="14">
        <f>COUNTIFS(Table1[Date],Sheet1!$A460,Table1[Sentiment V1],Sheet1!B$1)</f>
      </c>
      <c r="C460" s="14">
        <f>COUNTIFS(Table1[Date],Sheet1!$A460,Table1[Sentiment V1],Sheet1!C$1)</f>
      </c>
      <c r="D460" s="14">
        <f>COUNTIFS(Table1[Date],Sheet1!$A460,Table1[Sentiment V1],Sheet1!D$1)</f>
      </c>
      <c r="E460" s="16">
        <f>SUMIFS(Sheet2!B:B,Sheet2!A:A,Sheet1!A460)</f>
      </c>
      <c r="F460" s="14">
        <f>B460-C460</f>
      </c>
      <c r="G460" s="12"/>
      <c r="H460" s="13"/>
    </row>
    <row x14ac:dyDescent="0.25" r="461" customHeight="1" ht="18.75" hidden="1">
      <c r="A461" s="9">
        <v>45004</v>
      </c>
      <c r="B461" s="14">
        <f>COUNTIFS(Table1[Date],Sheet1!$A461,Table1[Sentiment V1],Sheet1!B$1)</f>
      </c>
      <c r="C461" s="14">
        <f>COUNTIFS(Table1[Date],Sheet1!$A461,Table1[Sentiment V1],Sheet1!C$1)</f>
      </c>
      <c r="D461" s="14">
        <f>COUNTIFS(Table1[Date],Sheet1!$A461,Table1[Sentiment V1],Sheet1!D$1)</f>
      </c>
      <c r="E461" s="15">
        <f>SUMIFS(Sheet2!B:B,Sheet2!A:A,Sheet1!A461)</f>
      </c>
      <c r="F461" s="14">
        <f>B461-C461</f>
      </c>
      <c r="G461" s="12"/>
      <c r="H461" s="13"/>
    </row>
    <row x14ac:dyDescent="0.25" r="462" customHeight="1" ht="18.75">
      <c r="A462" s="9">
        <v>44998</v>
      </c>
      <c r="B462" s="14">
        <f>COUNTIFS(Table1[Date],Sheet1!$A462,Table1[Sentiment V1],Sheet1!B$1)</f>
      </c>
      <c r="C462" s="14">
        <f>COUNTIFS(Table1[Date],Sheet1!$A462,Table1[Sentiment V1],Sheet1!C$1)</f>
      </c>
      <c r="D462" s="14">
        <f>COUNTIFS(Table1[Date],Sheet1!$A462,Table1[Sentiment V1],Sheet1!D$1)</f>
      </c>
      <c r="E462" s="16">
        <f>SUMIFS(Sheet2!B:B,Sheet2!A:A,Sheet1!A462)</f>
      </c>
      <c r="F462" s="14">
        <f>B462-C462</f>
      </c>
      <c r="G462" s="12"/>
      <c r="H462" s="13"/>
    </row>
    <row x14ac:dyDescent="0.25" r="463" customHeight="1" ht="18.75" hidden="1">
      <c r="A463" s="9">
        <v>44997</v>
      </c>
      <c r="B463" s="14">
        <f>COUNTIFS(Table1[Date],Sheet1!$A463,Table1[Sentiment V1],Sheet1!B$1)</f>
      </c>
      <c r="C463" s="14">
        <f>COUNTIFS(Table1[Date],Sheet1!$A463,Table1[Sentiment V1],Sheet1!C$1)</f>
      </c>
      <c r="D463" s="14">
        <f>COUNTIFS(Table1[Date],Sheet1!$A463,Table1[Sentiment V1],Sheet1!D$1)</f>
      </c>
      <c r="E463" s="15">
        <f>SUMIFS(Sheet2!B:B,Sheet2!A:A,Sheet1!A463)</f>
      </c>
      <c r="F463" s="14">
        <f>B463-C463</f>
      </c>
      <c r="G463" s="12"/>
      <c r="H463" s="13"/>
    </row>
    <row x14ac:dyDescent="0.25" r="464" customHeight="1" ht="18.75">
      <c r="A464" s="9">
        <v>44995</v>
      </c>
      <c r="B464" s="14">
        <f>COUNTIFS(Table1[Date],Sheet1!$A464,Table1[Sentiment V1],Sheet1!B$1)</f>
      </c>
      <c r="C464" s="14">
        <f>COUNTIFS(Table1[Date],Sheet1!$A464,Table1[Sentiment V1],Sheet1!C$1)</f>
      </c>
      <c r="D464" s="14">
        <f>COUNTIFS(Table1[Date],Sheet1!$A464,Table1[Sentiment V1],Sheet1!D$1)</f>
      </c>
      <c r="E464" s="16">
        <f>SUMIFS(Sheet2!B:B,Sheet2!A:A,Sheet1!A464)</f>
      </c>
      <c r="F464" s="14">
        <f>B464-C464</f>
      </c>
      <c r="G464" s="12"/>
      <c r="H464" s="13"/>
    </row>
    <row x14ac:dyDescent="0.25" r="465" customHeight="1" ht="18.75" hidden="1">
      <c r="A465" s="9">
        <v>44990</v>
      </c>
      <c r="B465" s="14">
        <f>COUNTIFS(Table1[Date],Sheet1!$A465,Table1[Sentiment V1],Sheet1!B$1)</f>
      </c>
      <c r="C465" s="14">
        <f>COUNTIFS(Table1[Date],Sheet1!$A465,Table1[Sentiment V1],Sheet1!C$1)</f>
      </c>
      <c r="D465" s="14">
        <f>COUNTIFS(Table1[Date],Sheet1!$A465,Table1[Sentiment V1],Sheet1!D$1)</f>
      </c>
      <c r="E465" s="15">
        <f>SUMIFS(Sheet2!B:B,Sheet2!A:A,Sheet1!A465)</f>
      </c>
      <c r="F465" s="14">
        <f>B465-C465</f>
      </c>
      <c r="G465" s="12"/>
      <c r="H465" s="13"/>
    </row>
    <row x14ac:dyDescent="0.25" r="466" customHeight="1" ht="18.75">
      <c r="A466" s="9">
        <v>44988</v>
      </c>
      <c r="B466" s="14">
        <f>COUNTIFS(Table1[Date],Sheet1!$A466,Table1[Sentiment V1],Sheet1!B$1)</f>
      </c>
      <c r="C466" s="14">
        <f>COUNTIFS(Table1[Date],Sheet1!$A466,Table1[Sentiment V1],Sheet1!C$1)</f>
      </c>
      <c r="D466" s="14">
        <f>COUNTIFS(Table1[Date],Sheet1!$A466,Table1[Sentiment V1],Sheet1!D$1)</f>
      </c>
      <c r="E466" s="16">
        <f>SUMIFS(Sheet2!B:B,Sheet2!A:A,Sheet1!A466)</f>
      </c>
      <c r="F466" s="14">
        <f>B466-C466</f>
      </c>
      <c r="G466" s="12"/>
      <c r="H466" s="13"/>
    </row>
    <row x14ac:dyDescent="0.25" r="467" customHeight="1" ht="18.75">
      <c r="A467" s="9">
        <v>44980</v>
      </c>
      <c r="B467" s="14">
        <f>COUNTIFS(Table1[Date],Sheet1!$A467,Table1[Sentiment V1],Sheet1!B$1)</f>
      </c>
      <c r="C467" s="14">
        <f>COUNTIFS(Table1[Date],Sheet1!$A467,Table1[Sentiment V1],Sheet1!C$1)</f>
      </c>
      <c r="D467" s="14">
        <f>COUNTIFS(Table1[Date],Sheet1!$A467,Table1[Sentiment V1],Sheet1!D$1)</f>
      </c>
      <c r="E467" s="16">
        <f>SUMIFS(Sheet2!B:B,Sheet2!A:A,Sheet1!A467)</f>
      </c>
      <c r="F467" s="14">
        <f>B467-C467</f>
      </c>
      <c r="G467" s="12"/>
      <c r="H467" s="13"/>
    </row>
    <row x14ac:dyDescent="0.25" r="468" customHeight="1" ht="18.75">
      <c r="A468" s="9">
        <v>44978</v>
      </c>
      <c r="B468" s="14">
        <f>COUNTIFS(Table1[Date],Sheet1!$A468,Table1[Sentiment V1],Sheet1!B$1)</f>
      </c>
      <c r="C468" s="14">
        <f>COUNTIFS(Table1[Date],Sheet1!$A468,Table1[Sentiment V1],Sheet1!C$1)</f>
      </c>
      <c r="D468" s="14">
        <f>COUNTIFS(Table1[Date],Sheet1!$A468,Table1[Sentiment V1],Sheet1!D$1)</f>
      </c>
      <c r="E468" s="16">
        <f>SUMIFS(Sheet2!B:B,Sheet2!A:A,Sheet1!A468)</f>
      </c>
      <c r="F468" s="14">
        <f>B468-C468</f>
      </c>
      <c r="G468" s="12"/>
      <c r="H468" s="13"/>
    </row>
    <row x14ac:dyDescent="0.25" r="469" customHeight="1" ht="18.75">
      <c r="A469" s="9">
        <v>44972</v>
      </c>
      <c r="B469" s="14">
        <f>COUNTIFS(Table1[Date],Sheet1!$A469,Table1[Sentiment V1],Sheet1!B$1)</f>
      </c>
      <c r="C469" s="14">
        <f>COUNTIFS(Table1[Date],Sheet1!$A469,Table1[Sentiment V1],Sheet1!C$1)</f>
      </c>
      <c r="D469" s="14">
        <f>COUNTIFS(Table1[Date],Sheet1!$A469,Table1[Sentiment V1],Sheet1!D$1)</f>
      </c>
      <c r="E469" s="16">
        <f>SUMIFS(Sheet2!B:B,Sheet2!A:A,Sheet1!A469)</f>
      </c>
      <c r="F469" s="14">
        <f>B469-C469</f>
      </c>
      <c r="G469" s="12"/>
      <c r="H469" s="13"/>
    </row>
    <row x14ac:dyDescent="0.25" r="470" customHeight="1" ht="18.75">
      <c r="A470" s="9">
        <v>44970</v>
      </c>
      <c r="B470" s="14">
        <f>COUNTIFS(Table1[Date],Sheet1!$A470,Table1[Sentiment V1],Sheet1!B$1)</f>
      </c>
      <c r="C470" s="14">
        <f>COUNTIFS(Table1[Date],Sheet1!$A470,Table1[Sentiment V1],Sheet1!C$1)</f>
      </c>
      <c r="D470" s="14">
        <f>COUNTIFS(Table1[Date],Sheet1!$A470,Table1[Sentiment V1],Sheet1!D$1)</f>
      </c>
      <c r="E470" s="16">
        <f>SUMIFS(Sheet2!B:B,Sheet2!A:A,Sheet1!A470)</f>
      </c>
      <c r="F470" s="14">
        <f>B470-C470</f>
      </c>
      <c r="G470" s="12"/>
      <c r="H470" s="13"/>
    </row>
    <row x14ac:dyDescent="0.25" r="471" customHeight="1" ht="18.75">
      <c r="A471" s="9">
        <v>44965</v>
      </c>
      <c r="B471" s="14">
        <f>COUNTIFS(Table1[Date],Sheet1!$A471,Table1[Sentiment V1],Sheet1!B$1)</f>
      </c>
      <c r="C471" s="14">
        <f>COUNTIFS(Table1[Date],Sheet1!$A471,Table1[Sentiment V1],Sheet1!C$1)</f>
      </c>
      <c r="D471" s="14">
        <f>COUNTIFS(Table1[Date],Sheet1!$A471,Table1[Sentiment V1],Sheet1!D$1)</f>
      </c>
      <c r="E471" s="16">
        <f>SUMIFS(Sheet2!B:B,Sheet2!A:A,Sheet1!A471)</f>
      </c>
      <c r="F471" s="14">
        <f>B471-C471</f>
      </c>
      <c r="G471" s="12"/>
      <c r="H471" s="13"/>
    </row>
    <row x14ac:dyDescent="0.25" r="472" customHeight="1" ht="18.75">
      <c r="A472" s="9">
        <v>44963</v>
      </c>
      <c r="B472" s="14">
        <f>COUNTIFS(Table1[Date],Sheet1!$A472,Table1[Sentiment V1],Sheet1!B$1)</f>
      </c>
      <c r="C472" s="14">
        <f>COUNTIFS(Table1[Date],Sheet1!$A472,Table1[Sentiment V1],Sheet1!C$1)</f>
      </c>
      <c r="D472" s="14">
        <f>COUNTIFS(Table1[Date],Sheet1!$A472,Table1[Sentiment V1],Sheet1!D$1)</f>
      </c>
      <c r="E472" s="16">
        <f>SUMIFS(Sheet2!B:B,Sheet2!A:A,Sheet1!A472)</f>
      </c>
      <c r="F472" s="14">
        <f>B472-C472</f>
      </c>
      <c r="G472" s="12"/>
      <c r="H472" s="13"/>
    </row>
    <row x14ac:dyDescent="0.25" r="473" customHeight="1" ht="18.75">
      <c r="A473" s="9">
        <v>44959</v>
      </c>
      <c r="B473" s="14">
        <f>COUNTIFS(Table1[Date],Sheet1!$A473,Table1[Sentiment V1],Sheet1!B$1)</f>
      </c>
      <c r="C473" s="14">
        <f>COUNTIFS(Table1[Date],Sheet1!$A473,Table1[Sentiment V1],Sheet1!C$1)</f>
      </c>
      <c r="D473" s="14">
        <f>COUNTIFS(Table1[Date],Sheet1!$A473,Table1[Sentiment V1],Sheet1!D$1)</f>
      </c>
      <c r="E473" s="16">
        <f>SUMIFS(Sheet2!B:B,Sheet2!A:A,Sheet1!A473)</f>
      </c>
      <c r="F473" s="14">
        <f>B473-C473</f>
      </c>
      <c r="G473" s="12"/>
      <c r="H473" s="13"/>
    </row>
    <row x14ac:dyDescent="0.25" r="474" customHeight="1" ht="18.75">
      <c r="A474" s="9">
        <v>44957</v>
      </c>
      <c r="B474" s="14">
        <f>COUNTIFS(Table1[Date],Sheet1!$A474,Table1[Sentiment V1],Sheet1!B$1)</f>
      </c>
      <c r="C474" s="14">
        <f>COUNTIFS(Table1[Date],Sheet1!$A474,Table1[Sentiment V1],Sheet1!C$1)</f>
      </c>
      <c r="D474" s="14">
        <f>COUNTIFS(Table1[Date],Sheet1!$A474,Table1[Sentiment V1],Sheet1!D$1)</f>
      </c>
      <c r="E474" s="16">
        <f>SUMIFS(Sheet2!B:B,Sheet2!A:A,Sheet1!A474)</f>
      </c>
      <c r="F474" s="14">
        <f>B474-C474</f>
      </c>
      <c r="G474" s="12"/>
      <c r="H474" s="13"/>
    </row>
    <row x14ac:dyDescent="0.25" r="475" customHeight="1" ht="18.75">
      <c r="A475" s="9">
        <v>44956</v>
      </c>
      <c r="B475" s="14">
        <f>COUNTIFS(Table1[Date],Sheet1!$A475,Table1[Sentiment V1],Sheet1!B$1)</f>
      </c>
      <c r="C475" s="14">
        <f>COUNTIFS(Table1[Date],Sheet1!$A475,Table1[Sentiment V1],Sheet1!C$1)</f>
      </c>
      <c r="D475" s="14">
        <f>COUNTIFS(Table1[Date],Sheet1!$A475,Table1[Sentiment V1],Sheet1!D$1)</f>
      </c>
      <c r="E475" s="16">
        <f>SUMIFS(Sheet2!B:B,Sheet2!A:A,Sheet1!A475)</f>
      </c>
      <c r="F475" s="14">
        <f>B475-C475</f>
      </c>
      <c r="G475" s="12"/>
      <c r="H475" s="13"/>
    </row>
    <row x14ac:dyDescent="0.25" r="476" customHeight="1" ht="18.75">
      <c r="A476" s="9">
        <v>44950</v>
      </c>
      <c r="B476" s="14">
        <f>COUNTIFS(Table1[Date],Sheet1!$A476,Table1[Sentiment V1],Sheet1!B$1)</f>
      </c>
      <c r="C476" s="14">
        <f>COUNTIFS(Table1[Date],Sheet1!$A476,Table1[Sentiment V1],Sheet1!C$1)</f>
      </c>
      <c r="D476" s="14">
        <f>COUNTIFS(Table1[Date],Sheet1!$A476,Table1[Sentiment V1],Sheet1!D$1)</f>
      </c>
      <c r="E476" s="16">
        <f>SUMIFS(Sheet2!B:B,Sheet2!A:A,Sheet1!A476)</f>
      </c>
      <c r="F476" s="14">
        <f>B476-C476</f>
      </c>
      <c r="G476" s="12"/>
      <c r="H476" s="13"/>
    </row>
    <row x14ac:dyDescent="0.25" r="477" customHeight="1" ht="18.75">
      <c r="A477" s="9">
        <v>44944</v>
      </c>
      <c r="B477" s="14">
        <f>COUNTIFS(Table1[Date],Sheet1!$A477,Table1[Sentiment V1],Sheet1!B$1)</f>
      </c>
      <c r="C477" s="14">
        <f>COUNTIFS(Table1[Date],Sheet1!$A477,Table1[Sentiment V1],Sheet1!C$1)</f>
      </c>
      <c r="D477" s="14">
        <f>COUNTIFS(Table1[Date],Sheet1!$A477,Table1[Sentiment V1],Sheet1!D$1)</f>
      </c>
      <c r="E477" s="16">
        <f>SUMIFS(Sheet2!B:B,Sheet2!A:A,Sheet1!A477)</f>
      </c>
      <c r="F477" s="14">
        <f>B477-C477</f>
      </c>
      <c r="G477" s="12"/>
      <c r="H477" s="13"/>
    </row>
    <row x14ac:dyDescent="0.25" r="478" customHeight="1" ht="18.75" hidden="1">
      <c r="A478" s="9">
        <v>44941</v>
      </c>
      <c r="B478" s="14">
        <f>COUNTIFS(Table1[Date],Sheet1!$A478,Table1[Sentiment V1],Sheet1!B$1)</f>
      </c>
      <c r="C478" s="14">
        <f>COUNTIFS(Table1[Date],Sheet1!$A478,Table1[Sentiment V1],Sheet1!C$1)</f>
      </c>
      <c r="D478" s="14">
        <f>COUNTIFS(Table1[Date],Sheet1!$A478,Table1[Sentiment V1],Sheet1!D$1)</f>
      </c>
      <c r="E478" s="15">
        <f>SUMIFS(Sheet2!B:B,Sheet2!A:A,Sheet1!A478)</f>
      </c>
      <c r="F478" s="14">
        <f>B478-C478</f>
      </c>
      <c r="G478" s="12"/>
      <c r="H478" s="13"/>
    </row>
    <row x14ac:dyDescent="0.25" r="479" customHeight="1" ht="18.75">
      <c r="A479" s="9">
        <v>44935</v>
      </c>
      <c r="B479" s="14">
        <f>COUNTIFS(Table1[Date],Sheet1!$A479,Table1[Sentiment V1],Sheet1!B$1)</f>
      </c>
      <c r="C479" s="14">
        <f>COUNTIFS(Table1[Date],Sheet1!$A479,Table1[Sentiment V1],Sheet1!C$1)</f>
      </c>
      <c r="D479" s="14">
        <f>COUNTIFS(Table1[Date],Sheet1!$A479,Table1[Sentiment V1],Sheet1!D$1)</f>
      </c>
      <c r="E479" s="16">
        <f>SUMIFS(Sheet2!B:B,Sheet2!A:A,Sheet1!A479)</f>
      </c>
      <c r="F479" s="14">
        <f>B479-C479</f>
      </c>
      <c r="G479" s="12"/>
      <c r="H479" s="13"/>
    </row>
    <row x14ac:dyDescent="0.25" r="480" customHeight="1" ht="18.75" hidden="1">
      <c r="A480" s="9">
        <v>44934</v>
      </c>
      <c r="B480" s="14">
        <f>COUNTIFS(Table1[Date],Sheet1!$A480,Table1[Sentiment V1],Sheet1!B$1)</f>
      </c>
      <c r="C480" s="14">
        <f>COUNTIFS(Table1[Date],Sheet1!$A480,Table1[Sentiment V1],Sheet1!C$1)</f>
      </c>
      <c r="D480" s="14">
        <f>COUNTIFS(Table1[Date],Sheet1!$A480,Table1[Sentiment V1],Sheet1!D$1)</f>
      </c>
      <c r="E480" s="15">
        <f>SUMIFS(Sheet2!B:B,Sheet2!A:A,Sheet1!A480)</f>
      </c>
      <c r="F480" s="14">
        <f>B480-C480</f>
      </c>
      <c r="G480" s="12"/>
      <c r="H480" s="13"/>
    </row>
    <row x14ac:dyDescent="0.25" r="481" customHeight="1" ht="18.75">
      <c r="A481" s="9">
        <v>44930</v>
      </c>
      <c r="B481" s="14">
        <f>COUNTIFS(Table1[Date],Sheet1!$A481,Table1[Sentiment V1],Sheet1!B$1)</f>
      </c>
      <c r="C481" s="14">
        <f>COUNTIFS(Table1[Date],Sheet1!$A481,Table1[Sentiment V1],Sheet1!C$1)</f>
      </c>
      <c r="D481" s="14">
        <f>COUNTIFS(Table1[Date],Sheet1!$A481,Table1[Sentiment V1],Sheet1!D$1)</f>
      </c>
      <c r="E481" s="16">
        <f>SUMIFS(Sheet2!B:B,Sheet2!A:A,Sheet1!A481)</f>
      </c>
      <c r="F481" s="14">
        <f>B481-C481</f>
      </c>
      <c r="G481" s="12"/>
      <c r="H481" s="13"/>
    </row>
    <row x14ac:dyDescent="0.25" r="482" customHeight="1" ht="18.75">
      <c r="A482" s="9">
        <v>44929</v>
      </c>
      <c r="B482" s="14">
        <f>COUNTIFS(Table1[Date],Sheet1!$A482,Table1[Sentiment V1],Sheet1!B$1)</f>
      </c>
      <c r="C482" s="14">
        <f>COUNTIFS(Table1[Date],Sheet1!$A482,Table1[Sentiment V1],Sheet1!C$1)</f>
      </c>
      <c r="D482" s="14">
        <f>COUNTIFS(Table1[Date],Sheet1!$A482,Table1[Sentiment V1],Sheet1!D$1)</f>
      </c>
      <c r="E482" s="16">
        <f>SUMIFS(Sheet2!B:B,Sheet2!A:A,Sheet1!A482)</f>
      </c>
      <c r="F482" s="14">
        <f>B482-C482</f>
      </c>
      <c r="G482" s="12"/>
      <c r="H482" s="13"/>
    </row>
    <row x14ac:dyDescent="0.25" r="483" customHeight="1" ht="18.75" hidden="1">
      <c r="A483" s="9">
        <v>44927</v>
      </c>
      <c r="B483" s="14">
        <f>COUNTIFS(Table1[Date],Sheet1!$A483,Table1[Sentiment V1],Sheet1!B$1)</f>
      </c>
      <c r="C483" s="14">
        <f>COUNTIFS(Table1[Date],Sheet1!$A483,Table1[Sentiment V1],Sheet1!C$1)</f>
      </c>
      <c r="D483" s="14">
        <f>COUNTIFS(Table1[Date],Sheet1!$A483,Table1[Sentiment V1],Sheet1!D$1)</f>
      </c>
      <c r="E483" s="15">
        <f>SUMIFS(Sheet2!B:B,Sheet2!A:A,Sheet1!A483)</f>
      </c>
      <c r="F483" s="14">
        <f>B483-C483</f>
      </c>
      <c r="G483" s="12"/>
      <c r="H483" s="13"/>
    </row>
    <row x14ac:dyDescent="0.25" r="484" customHeight="1" ht="18.75">
      <c r="A484" s="9">
        <v>44922</v>
      </c>
      <c r="B484" s="14">
        <f>COUNTIFS(Table1[Date],Sheet1!$A484,Table1[Sentiment V1],Sheet1!B$1)</f>
      </c>
      <c r="C484" s="14">
        <f>COUNTIFS(Table1[Date],Sheet1!$A484,Table1[Sentiment V1],Sheet1!C$1)</f>
      </c>
      <c r="D484" s="14">
        <f>COUNTIFS(Table1[Date],Sheet1!$A484,Table1[Sentiment V1],Sheet1!D$1)</f>
      </c>
      <c r="E484" s="16">
        <f>SUMIFS(Sheet2!B:B,Sheet2!A:A,Sheet1!A484)</f>
      </c>
      <c r="F484" s="14">
        <f>B484-C484</f>
      </c>
      <c r="G484" s="12"/>
      <c r="H484" s="13"/>
    </row>
    <row x14ac:dyDescent="0.25" r="485" customHeight="1" ht="18.75">
      <c r="A485" s="9">
        <v>44904</v>
      </c>
      <c r="B485" s="14">
        <f>COUNTIFS(Table1[Date],Sheet1!$A485,Table1[Sentiment V1],Sheet1!B$1)</f>
      </c>
      <c r="C485" s="14">
        <f>COUNTIFS(Table1[Date],Sheet1!$A485,Table1[Sentiment V1],Sheet1!C$1)</f>
      </c>
      <c r="D485" s="14">
        <f>COUNTIFS(Table1[Date],Sheet1!$A485,Table1[Sentiment V1],Sheet1!D$1)</f>
      </c>
      <c r="E485" s="16">
        <f>SUMIFS(Sheet2!B:B,Sheet2!A:A,Sheet1!A485)</f>
      </c>
      <c r="F485" s="14">
        <f>B485-C485</f>
      </c>
      <c r="G485" s="12"/>
      <c r="H485" s="13"/>
    </row>
    <row x14ac:dyDescent="0.25" r="486" customHeight="1" ht="18.75">
      <c r="A486" s="9">
        <v>44901</v>
      </c>
      <c r="B486" s="14">
        <f>COUNTIFS(Table1[Date],Sheet1!$A486,Table1[Sentiment V1],Sheet1!B$1)</f>
      </c>
      <c r="C486" s="14">
        <f>COUNTIFS(Table1[Date],Sheet1!$A486,Table1[Sentiment V1],Sheet1!C$1)</f>
      </c>
      <c r="D486" s="14">
        <f>COUNTIFS(Table1[Date],Sheet1!$A486,Table1[Sentiment V1],Sheet1!D$1)</f>
      </c>
      <c r="E486" s="16">
        <f>SUMIFS(Sheet2!B:B,Sheet2!A:A,Sheet1!A486)</f>
      </c>
      <c r="F486" s="14">
        <f>B486-C486</f>
      </c>
      <c r="G486" s="12"/>
      <c r="H486" s="13"/>
    </row>
    <row x14ac:dyDescent="0.25" r="487" customHeight="1" ht="18.75">
      <c r="A487" s="9">
        <v>44893</v>
      </c>
      <c r="B487" s="14">
        <f>COUNTIFS(Table1[Date],Sheet1!$A487,Table1[Sentiment V1],Sheet1!B$1)</f>
      </c>
      <c r="C487" s="14">
        <f>COUNTIFS(Table1[Date],Sheet1!$A487,Table1[Sentiment V1],Sheet1!C$1)</f>
      </c>
      <c r="D487" s="14">
        <f>COUNTIFS(Table1[Date],Sheet1!$A487,Table1[Sentiment V1],Sheet1!D$1)</f>
      </c>
      <c r="E487" s="16">
        <f>SUMIFS(Sheet2!B:B,Sheet2!A:A,Sheet1!A487)</f>
      </c>
      <c r="F487" s="14">
        <f>B487-C487</f>
      </c>
      <c r="G487" s="12"/>
      <c r="H487" s="13"/>
    </row>
    <row x14ac:dyDescent="0.25" r="488" customHeight="1" ht="18.75">
      <c r="A488" s="9">
        <v>44887</v>
      </c>
      <c r="B488" s="14">
        <f>COUNTIFS(Table1[Date],Sheet1!$A488,Table1[Sentiment V1],Sheet1!B$1)</f>
      </c>
      <c r="C488" s="14">
        <f>COUNTIFS(Table1[Date],Sheet1!$A488,Table1[Sentiment V1],Sheet1!C$1)</f>
      </c>
      <c r="D488" s="14">
        <f>COUNTIFS(Table1[Date],Sheet1!$A488,Table1[Sentiment V1],Sheet1!D$1)</f>
      </c>
      <c r="E488" s="16">
        <f>SUMIFS(Sheet2!B:B,Sheet2!A:A,Sheet1!A488)</f>
      </c>
      <c r="F488" s="14">
        <f>B488-C488</f>
      </c>
      <c r="G488" s="12"/>
      <c r="H488" s="13"/>
    </row>
    <row x14ac:dyDescent="0.25" r="489" customHeight="1" ht="18.75">
      <c r="A489" s="9">
        <v>44886</v>
      </c>
      <c r="B489" s="14">
        <f>COUNTIFS(Table1[Date],Sheet1!$A489,Table1[Sentiment V1],Sheet1!B$1)</f>
      </c>
      <c r="C489" s="14">
        <f>COUNTIFS(Table1[Date],Sheet1!$A489,Table1[Sentiment V1],Sheet1!C$1)</f>
      </c>
      <c r="D489" s="14">
        <f>COUNTIFS(Table1[Date],Sheet1!$A489,Table1[Sentiment V1],Sheet1!D$1)</f>
      </c>
      <c r="E489" s="16">
        <f>SUMIFS(Sheet2!B:B,Sheet2!A:A,Sheet1!A489)</f>
      </c>
      <c r="F489" s="14">
        <f>B489-C489</f>
      </c>
      <c r="G489" s="12"/>
      <c r="H489" s="13"/>
    </row>
    <row x14ac:dyDescent="0.25" r="490" customHeight="1" ht="18.75">
      <c r="A490" s="9">
        <v>44875</v>
      </c>
      <c r="B490" s="14">
        <f>COUNTIFS(Table1[Date],Sheet1!$A490,Table1[Sentiment V1],Sheet1!B$1)</f>
      </c>
      <c r="C490" s="14">
        <f>COUNTIFS(Table1[Date],Sheet1!$A490,Table1[Sentiment V1],Sheet1!C$1)</f>
      </c>
      <c r="D490" s="14">
        <f>COUNTIFS(Table1[Date],Sheet1!$A490,Table1[Sentiment V1],Sheet1!D$1)</f>
      </c>
      <c r="E490" s="16">
        <f>SUMIFS(Sheet2!B:B,Sheet2!A:A,Sheet1!A490)</f>
      </c>
      <c r="F490" s="14">
        <f>B490-C490</f>
      </c>
      <c r="G490" s="12"/>
      <c r="H490" s="13"/>
    </row>
    <row x14ac:dyDescent="0.25" r="491" customHeight="1" ht="18.75">
      <c r="A491" s="9">
        <v>44865</v>
      </c>
      <c r="B491" s="14">
        <f>COUNTIFS(Table1[Date],Sheet1!$A491,Table1[Sentiment V1],Sheet1!B$1)</f>
      </c>
      <c r="C491" s="14">
        <f>COUNTIFS(Table1[Date],Sheet1!$A491,Table1[Sentiment V1],Sheet1!C$1)</f>
      </c>
      <c r="D491" s="14">
        <f>COUNTIFS(Table1[Date],Sheet1!$A491,Table1[Sentiment V1],Sheet1!D$1)</f>
      </c>
      <c r="E491" s="16">
        <f>SUMIFS(Sheet2!B:B,Sheet2!A:A,Sheet1!A491)</f>
      </c>
      <c r="F491" s="14">
        <f>B491-C491</f>
      </c>
      <c r="G491" s="12"/>
      <c r="H491" s="13"/>
    </row>
    <row x14ac:dyDescent="0.25" r="492" customHeight="1" ht="18.75">
      <c r="A492" s="9">
        <v>44861</v>
      </c>
      <c r="B492" s="14">
        <f>COUNTIFS(Table1[Date],Sheet1!$A492,Table1[Sentiment V1],Sheet1!B$1)</f>
      </c>
      <c r="C492" s="14">
        <f>COUNTIFS(Table1[Date],Sheet1!$A492,Table1[Sentiment V1],Sheet1!C$1)</f>
      </c>
      <c r="D492" s="14">
        <f>COUNTIFS(Table1[Date],Sheet1!$A492,Table1[Sentiment V1],Sheet1!D$1)</f>
      </c>
      <c r="E492" s="16">
        <f>SUMIFS(Sheet2!B:B,Sheet2!A:A,Sheet1!A492)</f>
      </c>
      <c r="F492" s="14">
        <f>B492-C492</f>
      </c>
      <c r="G492" s="12"/>
      <c r="H492" s="13"/>
    </row>
    <row x14ac:dyDescent="0.25" r="493" customHeight="1" ht="18.75">
      <c r="A493" s="9">
        <v>44852</v>
      </c>
      <c r="B493" s="14">
        <f>COUNTIFS(Table1[Date],Sheet1!$A493,Table1[Sentiment V1],Sheet1!B$1)</f>
      </c>
      <c r="C493" s="14">
        <f>COUNTIFS(Table1[Date],Sheet1!$A493,Table1[Sentiment V1],Sheet1!C$1)</f>
      </c>
      <c r="D493" s="14">
        <f>COUNTIFS(Table1[Date],Sheet1!$A493,Table1[Sentiment V1],Sheet1!D$1)</f>
      </c>
      <c r="E493" s="16">
        <f>SUMIFS(Sheet2!B:B,Sheet2!A:A,Sheet1!A493)</f>
      </c>
      <c r="F493" s="14">
        <f>B493-C493</f>
      </c>
      <c r="G493" s="12"/>
      <c r="H493" s="13"/>
    </row>
    <row x14ac:dyDescent="0.25" r="494" customHeight="1" ht="18.75">
      <c r="A494" s="9">
        <v>44848</v>
      </c>
      <c r="B494" s="14">
        <f>COUNTIFS(Table1[Date],Sheet1!$A494,Table1[Sentiment V1],Sheet1!B$1)</f>
      </c>
      <c r="C494" s="14">
        <f>COUNTIFS(Table1[Date],Sheet1!$A494,Table1[Sentiment V1],Sheet1!C$1)</f>
      </c>
      <c r="D494" s="14">
        <f>COUNTIFS(Table1[Date],Sheet1!$A494,Table1[Sentiment V1],Sheet1!D$1)</f>
      </c>
      <c r="E494" s="16">
        <f>SUMIFS(Sheet2!B:B,Sheet2!A:A,Sheet1!A494)</f>
      </c>
      <c r="F494" s="14">
        <f>B494-C494</f>
      </c>
      <c r="G494" s="12"/>
      <c r="H494" s="13"/>
    </row>
    <row x14ac:dyDescent="0.25" r="495" customHeight="1" ht="18.75">
      <c r="A495" s="9">
        <v>44840</v>
      </c>
      <c r="B495" s="14">
        <f>COUNTIFS(Table1[Date],Sheet1!$A495,Table1[Sentiment V1],Sheet1!B$1)</f>
      </c>
      <c r="C495" s="14">
        <f>COUNTIFS(Table1[Date],Sheet1!$A495,Table1[Sentiment V1],Sheet1!C$1)</f>
      </c>
      <c r="D495" s="14">
        <f>COUNTIFS(Table1[Date],Sheet1!$A495,Table1[Sentiment V1],Sheet1!D$1)</f>
      </c>
      <c r="E495" s="16">
        <f>SUMIFS(Sheet2!B:B,Sheet2!A:A,Sheet1!A495)</f>
      </c>
      <c r="F495" s="14">
        <f>B495-C495</f>
      </c>
      <c r="G495" s="12"/>
      <c r="H495" s="13"/>
    </row>
    <row x14ac:dyDescent="0.25" r="496" customHeight="1" ht="18.75">
      <c r="A496" s="9">
        <v>44833</v>
      </c>
      <c r="B496" s="14">
        <f>COUNTIFS(Table1[Date],Sheet1!$A496,Table1[Sentiment V1],Sheet1!B$1)</f>
      </c>
      <c r="C496" s="14">
        <f>COUNTIFS(Table1[Date],Sheet1!$A496,Table1[Sentiment V1],Sheet1!C$1)</f>
      </c>
      <c r="D496" s="14">
        <f>COUNTIFS(Table1[Date],Sheet1!$A496,Table1[Sentiment V1],Sheet1!D$1)</f>
      </c>
      <c r="E496" s="16">
        <f>SUMIFS(Sheet2!B:B,Sheet2!A:A,Sheet1!A496)</f>
      </c>
      <c r="F496" s="14">
        <f>B496-C496</f>
      </c>
      <c r="G496" s="12"/>
      <c r="H496" s="13"/>
    </row>
    <row x14ac:dyDescent="0.25" r="497" customHeight="1" ht="18.75">
      <c r="A497" s="9">
        <v>44823</v>
      </c>
      <c r="B497" s="14">
        <f>COUNTIFS(Table1[Date],Sheet1!$A497,Table1[Sentiment V1],Sheet1!B$1)</f>
      </c>
      <c r="C497" s="14">
        <f>COUNTIFS(Table1[Date],Sheet1!$A497,Table1[Sentiment V1],Sheet1!C$1)</f>
      </c>
      <c r="D497" s="14">
        <f>COUNTIFS(Table1[Date],Sheet1!$A497,Table1[Sentiment V1],Sheet1!D$1)</f>
      </c>
      <c r="E497" s="15">
        <f>SUMIFS(Sheet2!B:B,Sheet2!A:A,Sheet1!A497)</f>
      </c>
      <c r="F497" s="14">
        <f>B497-C497</f>
      </c>
      <c r="G497" s="12"/>
      <c r="H497" s="13"/>
    </row>
    <row x14ac:dyDescent="0.25" r="498" customHeight="1" ht="18.75">
      <c r="A498" s="9">
        <v>44818</v>
      </c>
      <c r="B498" s="14">
        <f>COUNTIFS(Table1[Date],Sheet1!$A498,Table1[Sentiment V1],Sheet1!B$1)</f>
      </c>
      <c r="C498" s="14">
        <f>COUNTIFS(Table1[Date],Sheet1!$A498,Table1[Sentiment V1],Sheet1!C$1)</f>
      </c>
      <c r="D498" s="14">
        <f>COUNTIFS(Table1[Date],Sheet1!$A498,Table1[Sentiment V1],Sheet1!D$1)</f>
      </c>
      <c r="E498" s="16">
        <f>SUMIFS(Sheet2!B:B,Sheet2!A:A,Sheet1!A498)</f>
      </c>
      <c r="F498" s="14">
        <f>B498-C498</f>
      </c>
      <c r="G498" s="12"/>
      <c r="H498" s="13"/>
    </row>
    <row x14ac:dyDescent="0.25" r="499" customHeight="1" ht="18.75">
      <c r="A499" s="9">
        <v>44802</v>
      </c>
      <c r="B499" s="14">
        <f>COUNTIFS(Table1[Date],Sheet1!$A499,Table1[Sentiment V1],Sheet1!B$1)</f>
      </c>
      <c r="C499" s="14">
        <f>COUNTIFS(Table1[Date],Sheet1!$A499,Table1[Sentiment V1],Sheet1!C$1)</f>
      </c>
      <c r="D499" s="14">
        <f>COUNTIFS(Table1[Date],Sheet1!$A499,Table1[Sentiment V1],Sheet1!D$1)</f>
      </c>
      <c r="E499" s="16">
        <f>SUMIFS(Sheet2!B:B,Sheet2!A:A,Sheet1!A499)</f>
      </c>
      <c r="F499" s="14">
        <f>B499-C499</f>
      </c>
      <c r="G499" s="12"/>
      <c r="H499" s="13"/>
    </row>
    <row x14ac:dyDescent="0.25" r="500" customHeight="1" ht="18.75">
      <c r="A500" s="9">
        <v>44785</v>
      </c>
      <c r="B500" s="14">
        <f>COUNTIFS(Table1[Date],Sheet1!$A500,Table1[Sentiment V1],Sheet1!B$1)</f>
      </c>
      <c r="C500" s="14">
        <f>COUNTIFS(Table1[Date],Sheet1!$A500,Table1[Sentiment V1],Sheet1!C$1)</f>
      </c>
      <c r="D500" s="14">
        <f>COUNTIFS(Table1[Date],Sheet1!$A500,Table1[Sentiment V1],Sheet1!D$1)</f>
      </c>
      <c r="E500" s="16">
        <f>SUMIFS(Sheet2!B:B,Sheet2!A:A,Sheet1!A500)</f>
      </c>
      <c r="F500" s="14">
        <f>B500-C500</f>
      </c>
      <c r="G500" s="12"/>
      <c r="H500" s="13"/>
    </row>
    <row x14ac:dyDescent="0.25" r="501" customHeight="1" ht="18.75">
      <c r="A501" s="9">
        <v>44784</v>
      </c>
      <c r="B501" s="14">
        <f>COUNTIFS(Table1[Date],Sheet1!$A501,Table1[Sentiment V1],Sheet1!B$1)</f>
      </c>
      <c r="C501" s="14">
        <f>COUNTIFS(Table1[Date],Sheet1!$A501,Table1[Sentiment V1],Sheet1!C$1)</f>
      </c>
      <c r="D501" s="14">
        <f>COUNTIFS(Table1[Date],Sheet1!$A501,Table1[Sentiment V1],Sheet1!D$1)</f>
      </c>
      <c r="E501" s="16">
        <f>SUMIFS(Sheet2!B:B,Sheet2!A:A,Sheet1!A501)</f>
      </c>
      <c r="F501" s="14">
        <f>B501-C501</f>
      </c>
      <c r="G501" s="12"/>
      <c r="H501" s="13"/>
    </row>
    <row x14ac:dyDescent="0.25" r="502" customHeight="1" ht="18.75">
      <c r="A502" s="9">
        <v>44783</v>
      </c>
      <c r="B502" s="14">
        <f>COUNTIFS(Table1[Date],Sheet1!$A502,Table1[Sentiment V1],Sheet1!B$1)</f>
      </c>
      <c r="C502" s="14">
        <f>COUNTIFS(Table1[Date],Sheet1!$A502,Table1[Sentiment V1],Sheet1!C$1)</f>
      </c>
      <c r="D502" s="14">
        <f>COUNTIFS(Table1[Date],Sheet1!$A502,Table1[Sentiment V1],Sheet1!D$1)</f>
      </c>
      <c r="E502" s="16">
        <f>SUMIFS(Sheet2!B:B,Sheet2!A:A,Sheet1!A502)</f>
      </c>
      <c r="F502" s="14">
        <f>B502-C502</f>
      </c>
      <c r="G502" s="12"/>
      <c r="H502" s="13"/>
    </row>
    <row x14ac:dyDescent="0.25" r="503" customHeight="1" ht="18.75">
      <c r="A503" s="9">
        <v>44782</v>
      </c>
      <c r="B503" s="14">
        <f>COUNTIFS(Table1[Date],Sheet1!$A503,Table1[Sentiment V1],Sheet1!B$1)</f>
      </c>
      <c r="C503" s="14">
        <f>COUNTIFS(Table1[Date],Sheet1!$A503,Table1[Sentiment V1],Sheet1!C$1)</f>
      </c>
      <c r="D503" s="14">
        <f>COUNTIFS(Table1[Date],Sheet1!$A503,Table1[Sentiment V1],Sheet1!D$1)</f>
      </c>
      <c r="E503" s="16">
        <f>SUMIFS(Sheet2!B:B,Sheet2!A:A,Sheet1!A503)</f>
      </c>
      <c r="F503" s="14">
        <f>B503-C503</f>
      </c>
      <c r="G503" s="12"/>
      <c r="H503" s="13"/>
    </row>
    <row x14ac:dyDescent="0.25" r="504" customHeight="1" ht="18.75" hidden="1">
      <c r="A504" s="9">
        <v>44780</v>
      </c>
      <c r="B504" s="14">
        <f>COUNTIFS(Table1[Date],Sheet1!$A504,Table1[Sentiment V1],Sheet1!B$1)</f>
      </c>
      <c r="C504" s="14">
        <f>COUNTIFS(Table1[Date],Sheet1!$A504,Table1[Sentiment V1],Sheet1!C$1)</f>
      </c>
      <c r="D504" s="14">
        <f>COUNTIFS(Table1[Date],Sheet1!$A504,Table1[Sentiment V1],Sheet1!D$1)</f>
      </c>
      <c r="E504" s="15">
        <f>SUMIFS(Sheet2!B:B,Sheet2!A:A,Sheet1!A504)</f>
      </c>
      <c r="F504" s="14">
        <f>B504-C504</f>
      </c>
      <c r="G504" s="12"/>
      <c r="H504" s="13"/>
    </row>
    <row x14ac:dyDescent="0.25" r="505" customHeight="1" ht="18.75">
      <c r="A505" s="9">
        <v>44767</v>
      </c>
      <c r="B505" s="14">
        <f>COUNTIFS(Table1[Date],Sheet1!$A505,Table1[Sentiment V1],Sheet1!B$1)</f>
      </c>
      <c r="C505" s="14">
        <f>COUNTIFS(Table1[Date],Sheet1!$A505,Table1[Sentiment V1],Sheet1!C$1)</f>
      </c>
      <c r="D505" s="14">
        <f>COUNTIFS(Table1[Date],Sheet1!$A505,Table1[Sentiment V1],Sheet1!D$1)</f>
      </c>
      <c r="E505" s="16">
        <f>SUMIFS(Sheet2!B:B,Sheet2!A:A,Sheet1!A505)</f>
      </c>
      <c r="F505" s="14">
        <f>B505-C505</f>
      </c>
      <c r="G505" s="12"/>
      <c r="H505" s="13"/>
    </row>
    <row x14ac:dyDescent="0.25" r="506" customHeight="1" ht="18.75">
      <c r="A506" s="9">
        <v>44761</v>
      </c>
      <c r="B506" s="14">
        <f>COUNTIFS(Table1[Date],Sheet1!$A506,Table1[Sentiment V1],Sheet1!B$1)</f>
      </c>
      <c r="C506" s="14">
        <f>COUNTIFS(Table1[Date],Sheet1!$A506,Table1[Sentiment V1],Sheet1!C$1)</f>
      </c>
      <c r="D506" s="14">
        <f>COUNTIFS(Table1[Date],Sheet1!$A506,Table1[Sentiment V1],Sheet1!D$1)</f>
      </c>
      <c r="E506" s="16">
        <f>SUMIFS(Sheet2!B:B,Sheet2!A:A,Sheet1!A506)</f>
      </c>
      <c r="F506" s="14">
        <f>B506-C506</f>
      </c>
      <c r="G506" s="12"/>
      <c r="H506" s="13"/>
    </row>
    <row x14ac:dyDescent="0.25" r="507" customHeight="1" ht="18.75">
      <c r="A507" s="9">
        <v>44757</v>
      </c>
      <c r="B507" s="14">
        <f>COUNTIFS(Table1[Date],Sheet1!$A507,Table1[Sentiment V1],Sheet1!B$1)</f>
      </c>
      <c r="C507" s="14">
        <f>COUNTIFS(Table1[Date],Sheet1!$A507,Table1[Sentiment V1],Sheet1!C$1)</f>
      </c>
      <c r="D507" s="14">
        <f>COUNTIFS(Table1[Date],Sheet1!$A507,Table1[Sentiment V1],Sheet1!D$1)</f>
      </c>
      <c r="E507" s="16">
        <f>SUMIFS(Sheet2!B:B,Sheet2!A:A,Sheet1!A507)</f>
      </c>
      <c r="F507" s="14">
        <f>B507-C507</f>
      </c>
      <c r="G507" s="12"/>
      <c r="H507" s="13"/>
    </row>
    <row x14ac:dyDescent="0.25" r="508" customHeight="1" ht="18.75">
      <c r="A508" s="9">
        <v>44756</v>
      </c>
      <c r="B508" s="14">
        <f>COUNTIFS(Table1[Date],Sheet1!$A508,Table1[Sentiment V1],Sheet1!B$1)</f>
      </c>
      <c r="C508" s="14">
        <f>COUNTIFS(Table1[Date],Sheet1!$A508,Table1[Sentiment V1],Sheet1!C$1)</f>
      </c>
      <c r="D508" s="14">
        <f>COUNTIFS(Table1[Date],Sheet1!$A508,Table1[Sentiment V1],Sheet1!D$1)</f>
      </c>
      <c r="E508" s="16">
        <f>SUMIFS(Sheet2!B:B,Sheet2!A:A,Sheet1!A508)</f>
      </c>
      <c r="F508" s="14">
        <f>B508-C508</f>
      </c>
      <c r="G508" s="12"/>
      <c r="H508" s="13"/>
    </row>
    <row x14ac:dyDescent="0.25" r="509" customHeight="1" ht="18.75">
      <c r="A509" s="9">
        <v>44750</v>
      </c>
      <c r="B509" s="14">
        <f>COUNTIFS(Table1[Date],Sheet1!$A509,Table1[Sentiment V1],Sheet1!B$1)</f>
      </c>
      <c r="C509" s="14">
        <f>COUNTIFS(Table1[Date],Sheet1!$A509,Table1[Sentiment V1],Sheet1!C$1)</f>
      </c>
      <c r="D509" s="14">
        <f>COUNTIFS(Table1[Date],Sheet1!$A509,Table1[Sentiment V1],Sheet1!D$1)</f>
      </c>
      <c r="E509" s="16">
        <f>SUMIFS(Sheet2!B:B,Sheet2!A:A,Sheet1!A509)</f>
      </c>
      <c r="F509" s="14">
        <f>B509-C509</f>
      </c>
      <c r="G509" s="12"/>
      <c r="H509" s="13"/>
    </row>
    <row x14ac:dyDescent="0.25" r="510" customHeight="1" ht="18.75">
      <c r="A510" s="9">
        <v>44747</v>
      </c>
      <c r="B510" s="14">
        <f>COUNTIFS(Table1[Date],Sheet1!$A510,Table1[Sentiment V1],Sheet1!B$1)</f>
      </c>
      <c r="C510" s="14">
        <f>COUNTIFS(Table1[Date],Sheet1!$A510,Table1[Sentiment V1],Sheet1!C$1)</f>
      </c>
      <c r="D510" s="14">
        <f>COUNTIFS(Table1[Date],Sheet1!$A510,Table1[Sentiment V1],Sheet1!D$1)</f>
      </c>
      <c r="E510" s="16">
        <f>SUMIFS(Sheet2!B:B,Sheet2!A:A,Sheet1!A510)</f>
      </c>
      <c r="F510" s="14">
        <f>B510-C510</f>
      </c>
      <c r="G510" s="12"/>
      <c r="H510" s="13"/>
    </row>
    <row x14ac:dyDescent="0.25" r="511" customHeight="1" ht="18.75">
      <c r="A511" s="9">
        <v>44743</v>
      </c>
      <c r="B511" s="14">
        <f>COUNTIFS(Table1[Date],Sheet1!$A511,Table1[Sentiment V1],Sheet1!B$1)</f>
      </c>
      <c r="C511" s="14">
        <f>COUNTIFS(Table1[Date],Sheet1!$A511,Table1[Sentiment V1],Sheet1!C$1)</f>
      </c>
      <c r="D511" s="14">
        <f>COUNTIFS(Table1[Date],Sheet1!$A511,Table1[Sentiment V1],Sheet1!D$1)</f>
      </c>
      <c r="E511" s="16">
        <f>SUMIFS(Sheet2!B:B,Sheet2!A:A,Sheet1!A511)</f>
      </c>
      <c r="F511" s="14">
        <f>B511-C511</f>
      </c>
      <c r="G511" s="12"/>
      <c r="H511" s="13"/>
    </row>
    <row x14ac:dyDescent="0.25" r="512" customHeight="1" ht="18.75" hidden="1">
      <c r="A512" s="9">
        <v>44738</v>
      </c>
      <c r="B512" s="14">
        <f>COUNTIFS(Table1[Date],Sheet1!$A512,Table1[Sentiment V1],Sheet1!B$1)</f>
      </c>
      <c r="C512" s="14">
        <f>COUNTIFS(Table1[Date],Sheet1!$A512,Table1[Sentiment V1],Sheet1!C$1)</f>
      </c>
      <c r="D512" s="14">
        <f>COUNTIFS(Table1[Date],Sheet1!$A512,Table1[Sentiment V1],Sheet1!D$1)</f>
      </c>
      <c r="E512" s="15">
        <f>SUMIFS(Sheet2!B:B,Sheet2!A:A,Sheet1!A512)</f>
      </c>
      <c r="F512" s="14">
        <f>B512-C512</f>
      </c>
      <c r="G512" s="12"/>
      <c r="H512" s="13"/>
    </row>
    <row x14ac:dyDescent="0.25" r="513" customHeight="1" ht="18.75">
      <c r="A513" s="9">
        <v>44736</v>
      </c>
      <c r="B513" s="14">
        <f>COUNTIFS(Table1[Date],Sheet1!$A513,Table1[Sentiment V1],Sheet1!B$1)</f>
      </c>
      <c r="C513" s="14">
        <f>COUNTIFS(Table1[Date],Sheet1!$A513,Table1[Sentiment V1],Sheet1!C$1)</f>
      </c>
      <c r="D513" s="14">
        <f>COUNTIFS(Table1[Date],Sheet1!$A513,Table1[Sentiment V1],Sheet1!D$1)</f>
      </c>
      <c r="E513" s="16">
        <f>SUMIFS(Sheet2!B:B,Sheet2!A:A,Sheet1!A513)</f>
      </c>
      <c r="F513" s="14">
        <f>B513-C513</f>
      </c>
      <c r="G513" s="12"/>
      <c r="H513" s="13"/>
    </row>
    <row x14ac:dyDescent="0.25" r="514" customHeight="1" ht="18.75">
      <c r="A514" s="9">
        <v>44727</v>
      </c>
      <c r="B514" s="14">
        <f>COUNTIFS(Table1[Date],Sheet1!$A514,Table1[Sentiment V1],Sheet1!B$1)</f>
      </c>
      <c r="C514" s="14">
        <f>COUNTIFS(Table1[Date],Sheet1!$A514,Table1[Sentiment V1],Sheet1!C$1)</f>
      </c>
      <c r="D514" s="14">
        <f>COUNTIFS(Table1[Date],Sheet1!$A514,Table1[Sentiment V1],Sheet1!D$1)</f>
      </c>
      <c r="E514" s="16">
        <f>SUMIFS(Sheet2!B:B,Sheet2!A:A,Sheet1!A514)</f>
      </c>
      <c r="F514" s="14">
        <f>B514-C514</f>
      </c>
      <c r="G514" s="12"/>
      <c r="H514" s="13"/>
    </row>
    <row x14ac:dyDescent="0.25" r="515" customHeight="1" ht="18.75">
      <c r="A515" s="9">
        <v>44721</v>
      </c>
      <c r="B515" s="14">
        <f>COUNTIFS(Table1[Date],Sheet1!$A515,Table1[Sentiment V1],Sheet1!B$1)</f>
      </c>
      <c r="C515" s="14">
        <f>COUNTIFS(Table1[Date],Sheet1!$A515,Table1[Sentiment V1],Sheet1!C$1)</f>
      </c>
      <c r="D515" s="14">
        <f>COUNTIFS(Table1[Date],Sheet1!$A515,Table1[Sentiment V1],Sheet1!D$1)</f>
      </c>
      <c r="E515" s="16">
        <f>SUMIFS(Sheet2!B:B,Sheet2!A:A,Sheet1!A515)</f>
      </c>
      <c r="F515" s="14">
        <f>B515-C515</f>
      </c>
      <c r="G515" s="12"/>
      <c r="H515" s="13"/>
    </row>
    <row x14ac:dyDescent="0.25" r="516" customHeight="1" ht="18.75">
      <c r="A516" s="9">
        <v>44718</v>
      </c>
      <c r="B516" s="14">
        <f>COUNTIFS(Table1[Date],Sheet1!$A516,Table1[Sentiment V1],Sheet1!B$1)</f>
      </c>
      <c r="C516" s="14">
        <f>COUNTIFS(Table1[Date],Sheet1!$A516,Table1[Sentiment V1],Sheet1!C$1)</f>
      </c>
      <c r="D516" s="14">
        <f>COUNTIFS(Table1[Date],Sheet1!$A516,Table1[Sentiment V1],Sheet1!D$1)</f>
      </c>
      <c r="E516" s="16">
        <f>SUMIFS(Sheet2!B:B,Sheet2!A:A,Sheet1!A516)</f>
      </c>
      <c r="F516" s="14">
        <f>B516-C516</f>
      </c>
      <c r="G516" s="12"/>
      <c r="H516" s="13"/>
    </row>
    <row x14ac:dyDescent="0.25" r="517" customHeight="1" ht="18.75">
      <c r="A517" s="9">
        <v>44713</v>
      </c>
      <c r="B517" s="14">
        <f>COUNTIFS(Table1[Date],Sheet1!$A517,Table1[Sentiment V1],Sheet1!B$1)</f>
      </c>
      <c r="C517" s="14">
        <f>COUNTIFS(Table1[Date],Sheet1!$A517,Table1[Sentiment V1],Sheet1!C$1)</f>
      </c>
      <c r="D517" s="14">
        <f>COUNTIFS(Table1[Date],Sheet1!$A517,Table1[Sentiment V1],Sheet1!D$1)</f>
      </c>
      <c r="E517" s="16">
        <f>SUMIFS(Sheet2!B:B,Sheet2!A:A,Sheet1!A517)</f>
      </c>
      <c r="F517" s="14">
        <f>B517-C517</f>
      </c>
      <c r="G517" s="12"/>
      <c r="H517" s="13"/>
    </row>
    <row x14ac:dyDescent="0.25" r="518" customHeight="1" ht="18.75">
      <c r="A518" s="9">
        <v>44712</v>
      </c>
      <c r="B518" s="14">
        <f>COUNTIFS(Table1[Date],Sheet1!$A518,Table1[Sentiment V1],Sheet1!B$1)</f>
      </c>
      <c r="C518" s="14">
        <f>COUNTIFS(Table1[Date],Sheet1!$A518,Table1[Sentiment V1],Sheet1!C$1)</f>
      </c>
      <c r="D518" s="14">
        <f>COUNTIFS(Table1[Date],Sheet1!$A518,Table1[Sentiment V1],Sheet1!D$1)</f>
      </c>
      <c r="E518" s="16">
        <f>SUMIFS(Sheet2!B:B,Sheet2!A:A,Sheet1!A518)</f>
      </c>
      <c r="F518" s="14">
        <f>B518-C518</f>
      </c>
      <c r="G518" s="12"/>
      <c r="H518" s="13"/>
    </row>
    <row x14ac:dyDescent="0.25" r="519" customHeight="1" ht="18.75">
      <c r="A519" s="9">
        <v>44711</v>
      </c>
      <c r="B519" s="14">
        <f>COUNTIFS(Table1[Date],Sheet1!$A519,Table1[Sentiment V1],Sheet1!B$1)</f>
      </c>
      <c r="C519" s="14">
        <f>COUNTIFS(Table1[Date],Sheet1!$A519,Table1[Sentiment V1],Sheet1!C$1)</f>
      </c>
      <c r="D519" s="14">
        <f>COUNTIFS(Table1[Date],Sheet1!$A519,Table1[Sentiment V1],Sheet1!D$1)</f>
      </c>
      <c r="E519" s="16">
        <f>SUMIFS(Sheet2!B:B,Sheet2!A:A,Sheet1!A519)</f>
      </c>
      <c r="F519" s="14">
        <f>B519-C519</f>
      </c>
      <c r="G519" s="12"/>
      <c r="H519" s="13"/>
    </row>
    <row x14ac:dyDescent="0.25" r="520" customHeight="1" ht="18.75">
      <c r="A520" s="9">
        <v>44699</v>
      </c>
      <c r="B520" s="14">
        <f>COUNTIFS(Table1[Date],Sheet1!$A520,Table1[Sentiment V1],Sheet1!B$1)</f>
      </c>
      <c r="C520" s="14">
        <f>COUNTIFS(Table1[Date],Sheet1!$A520,Table1[Sentiment V1],Sheet1!C$1)</f>
      </c>
      <c r="D520" s="14">
        <f>COUNTIFS(Table1[Date],Sheet1!$A520,Table1[Sentiment V1],Sheet1!D$1)</f>
      </c>
      <c r="E520" s="16">
        <f>SUMIFS(Sheet2!B:B,Sheet2!A:A,Sheet1!A520)</f>
      </c>
      <c r="F520" s="14">
        <f>B520-C520</f>
      </c>
      <c r="G520" s="12"/>
      <c r="H520" s="13"/>
    </row>
    <row x14ac:dyDescent="0.25" r="521" customHeight="1" ht="18.75">
      <c r="A521" s="9">
        <v>44698</v>
      </c>
      <c r="B521" s="14">
        <f>COUNTIFS(Table1[Date],Sheet1!$A521,Table1[Sentiment V1],Sheet1!B$1)</f>
      </c>
      <c r="C521" s="14">
        <f>COUNTIFS(Table1[Date],Sheet1!$A521,Table1[Sentiment V1],Sheet1!C$1)</f>
      </c>
      <c r="D521" s="14">
        <f>COUNTIFS(Table1[Date],Sheet1!$A521,Table1[Sentiment V1],Sheet1!D$1)</f>
      </c>
      <c r="E521" s="16">
        <f>SUMIFS(Sheet2!B:B,Sheet2!A:A,Sheet1!A521)</f>
      </c>
      <c r="F521" s="14">
        <f>B521-C521</f>
      </c>
      <c r="G521" s="12"/>
      <c r="H521" s="13"/>
    </row>
    <row x14ac:dyDescent="0.25" r="522" customHeight="1" ht="18.75">
      <c r="A522" s="9">
        <v>44692</v>
      </c>
      <c r="B522" s="14">
        <f>COUNTIFS(Table1[Date],Sheet1!$A522,Table1[Sentiment V1],Sheet1!B$1)</f>
      </c>
      <c r="C522" s="14">
        <f>COUNTIFS(Table1[Date],Sheet1!$A522,Table1[Sentiment V1],Sheet1!C$1)</f>
      </c>
      <c r="D522" s="14">
        <f>COUNTIFS(Table1[Date],Sheet1!$A522,Table1[Sentiment V1],Sheet1!D$1)</f>
      </c>
      <c r="E522" s="16">
        <f>SUMIFS(Sheet2!B:B,Sheet2!A:A,Sheet1!A522)</f>
      </c>
      <c r="F522" s="14">
        <f>B522-C522</f>
      </c>
      <c r="G522" s="12"/>
      <c r="H522" s="13"/>
    </row>
    <row x14ac:dyDescent="0.25" r="523" customHeight="1" ht="18.75">
      <c r="A523" s="9">
        <v>44676</v>
      </c>
      <c r="B523" s="14">
        <f>COUNTIFS(Table1[Date],Sheet1!$A523,Table1[Sentiment V1],Sheet1!B$1)</f>
      </c>
      <c r="C523" s="14">
        <f>COUNTIFS(Table1[Date],Sheet1!$A523,Table1[Sentiment V1],Sheet1!C$1)</f>
      </c>
      <c r="D523" s="14">
        <f>COUNTIFS(Table1[Date],Sheet1!$A523,Table1[Sentiment V1],Sheet1!D$1)</f>
      </c>
      <c r="E523" s="16">
        <f>SUMIFS(Sheet2!B:B,Sheet2!A:A,Sheet1!A523)</f>
      </c>
      <c r="F523" s="14">
        <f>B523-C523</f>
      </c>
      <c r="G523" s="12"/>
      <c r="H523" s="13"/>
    </row>
    <row x14ac:dyDescent="0.25" r="524" customHeight="1" ht="18.75">
      <c r="A524" s="9">
        <v>44664</v>
      </c>
      <c r="B524" s="14">
        <f>COUNTIFS(Table1[Date],Sheet1!$A524,Table1[Sentiment V1],Sheet1!B$1)</f>
      </c>
      <c r="C524" s="14">
        <f>COUNTIFS(Table1[Date],Sheet1!$A524,Table1[Sentiment V1],Sheet1!C$1)</f>
      </c>
      <c r="D524" s="14">
        <f>COUNTIFS(Table1[Date],Sheet1!$A524,Table1[Sentiment V1],Sheet1!D$1)</f>
      </c>
      <c r="E524" s="16">
        <f>SUMIFS(Sheet2!B:B,Sheet2!A:A,Sheet1!A524)</f>
      </c>
      <c r="F524" s="14">
        <f>B524-C524</f>
      </c>
      <c r="G524" s="12"/>
      <c r="H524" s="13"/>
    </row>
    <row x14ac:dyDescent="0.25" r="525" customHeight="1" ht="18.75" hidden="1">
      <c r="A525" s="9">
        <v>44654</v>
      </c>
      <c r="B525" s="14">
        <f>COUNTIFS(Table1[Date],Sheet1!$A525,Table1[Sentiment V1],Sheet1!B$1)</f>
      </c>
      <c r="C525" s="14">
        <f>COUNTIFS(Table1[Date],Sheet1!$A525,Table1[Sentiment V1],Sheet1!C$1)</f>
      </c>
      <c r="D525" s="14">
        <f>COUNTIFS(Table1[Date],Sheet1!$A525,Table1[Sentiment V1],Sheet1!D$1)</f>
      </c>
      <c r="E525" s="15">
        <f>SUMIFS(Sheet2!B:B,Sheet2!A:A,Sheet1!A525)</f>
      </c>
      <c r="F525" s="14">
        <f>B525-C525</f>
      </c>
      <c r="G525" s="12"/>
      <c r="H525" s="13"/>
    </row>
    <row x14ac:dyDescent="0.25" r="526" customHeight="1" ht="18.75">
      <c r="A526" s="9">
        <v>44637</v>
      </c>
      <c r="B526" s="14">
        <f>COUNTIFS(Table1[Date],Sheet1!$A526,Table1[Sentiment V1],Sheet1!B$1)</f>
      </c>
      <c r="C526" s="14">
        <f>COUNTIFS(Table1[Date],Sheet1!$A526,Table1[Sentiment V1],Sheet1!C$1)</f>
      </c>
      <c r="D526" s="14">
        <f>COUNTIFS(Table1[Date],Sheet1!$A526,Table1[Sentiment V1],Sheet1!D$1)</f>
      </c>
      <c r="E526" s="16">
        <f>SUMIFS(Sheet2!B:B,Sheet2!A:A,Sheet1!A526)</f>
      </c>
      <c r="F526" s="14">
        <f>B526-C526</f>
      </c>
      <c r="G526" s="12"/>
      <c r="H526" s="13"/>
    </row>
    <row x14ac:dyDescent="0.25" r="527" customHeight="1" ht="18.75">
      <c r="A527" s="9">
        <v>44635</v>
      </c>
      <c r="B527" s="14">
        <f>COUNTIFS(Table1[Date],Sheet1!$A527,Table1[Sentiment V1],Sheet1!B$1)</f>
      </c>
      <c r="C527" s="14">
        <f>COUNTIFS(Table1[Date],Sheet1!$A527,Table1[Sentiment V1],Sheet1!C$1)</f>
      </c>
      <c r="D527" s="14">
        <f>COUNTIFS(Table1[Date],Sheet1!$A527,Table1[Sentiment V1],Sheet1!D$1)</f>
      </c>
      <c r="E527" s="16">
        <f>SUMIFS(Sheet2!B:B,Sheet2!A:A,Sheet1!A527)</f>
      </c>
      <c r="F527" s="14">
        <f>B527-C527</f>
      </c>
      <c r="G527" s="12"/>
      <c r="H527" s="13"/>
    </row>
    <row x14ac:dyDescent="0.25" r="528" customHeight="1" ht="18.75" hidden="1">
      <c r="A528" s="9">
        <v>44633</v>
      </c>
      <c r="B528" s="14">
        <f>COUNTIFS(Table1[Date],Sheet1!$A528,Table1[Sentiment V1],Sheet1!B$1)</f>
      </c>
      <c r="C528" s="14">
        <f>COUNTIFS(Table1[Date],Sheet1!$A528,Table1[Sentiment V1],Sheet1!C$1)</f>
      </c>
      <c r="D528" s="14">
        <f>COUNTIFS(Table1[Date],Sheet1!$A528,Table1[Sentiment V1],Sheet1!D$1)</f>
      </c>
      <c r="E528" s="15">
        <f>SUMIFS(Sheet2!B:B,Sheet2!A:A,Sheet1!A528)</f>
      </c>
      <c r="F528" s="14">
        <f>B528-C528</f>
      </c>
      <c r="G528" s="12"/>
      <c r="H528" s="13"/>
    </row>
    <row x14ac:dyDescent="0.25" r="529" customHeight="1" ht="18.75">
      <c r="A529" s="9">
        <v>44629</v>
      </c>
      <c r="B529" s="14">
        <f>COUNTIFS(Table1[Date],Sheet1!$A529,Table1[Sentiment V1],Sheet1!B$1)</f>
      </c>
      <c r="C529" s="14">
        <f>COUNTIFS(Table1[Date],Sheet1!$A529,Table1[Sentiment V1],Sheet1!C$1)</f>
      </c>
      <c r="D529" s="14">
        <f>COUNTIFS(Table1[Date],Sheet1!$A529,Table1[Sentiment V1],Sheet1!D$1)</f>
      </c>
      <c r="E529" s="16">
        <f>SUMIFS(Sheet2!B:B,Sheet2!A:A,Sheet1!A529)</f>
      </c>
      <c r="F529" s="14">
        <f>B529-C529</f>
      </c>
      <c r="G529" s="12"/>
      <c r="H529" s="13"/>
    </row>
    <row x14ac:dyDescent="0.25" r="530" customHeight="1" ht="18.75">
      <c r="A530" s="9">
        <v>44628</v>
      </c>
      <c r="B530" s="14">
        <f>COUNTIFS(Table1[Date],Sheet1!$A530,Table1[Sentiment V1],Sheet1!B$1)</f>
      </c>
      <c r="C530" s="14">
        <f>COUNTIFS(Table1[Date],Sheet1!$A530,Table1[Sentiment V1],Sheet1!C$1)</f>
      </c>
      <c r="D530" s="14">
        <f>COUNTIFS(Table1[Date],Sheet1!$A530,Table1[Sentiment V1],Sheet1!D$1)</f>
      </c>
      <c r="E530" s="16">
        <f>SUMIFS(Sheet2!B:B,Sheet2!A:A,Sheet1!A530)</f>
      </c>
      <c r="F530" s="14">
        <f>B530-C530</f>
      </c>
      <c r="G530" s="12"/>
      <c r="H530" s="13"/>
    </row>
    <row x14ac:dyDescent="0.25" r="531" customHeight="1" ht="18.75">
      <c r="A531" s="9">
        <v>44627</v>
      </c>
      <c r="B531" s="14">
        <f>COUNTIFS(Table1[Date],Sheet1!$A531,Table1[Sentiment V1],Sheet1!B$1)</f>
      </c>
      <c r="C531" s="14">
        <f>COUNTIFS(Table1[Date],Sheet1!$A531,Table1[Sentiment V1],Sheet1!C$1)</f>
      </c>
      <c r="D531" s="14">
        <f>COUNTIFS(Table1[Date],Sheet1!$A531,Table1[Sentiment V1],Sheet1!D$1)</f>
      </c>
      <c r="E531" s="16">
        <f>SUMIFS(Sheet2!B:B,Sheet2!A:A,Sheet1!A531)</f>
      </c>
      <c r="F531" s="14">
        <f>B531-C531</f>
      </c>
      <c r="G531" s="12"/>
      <c r="H531" s="13"/>
    </row>
    <row x14ac:dyDescent="0.25" r="532" customHeight="1" ht="18.75" hidden="1">
      <c r="A532" s="9">
        <v>44626</v>
      </c>
      <c r="B532" s="14">
        <f>COUNTIFS(Table1[Date],Sheet1!$A532,Table1[Sentiment V1],Sheet1!B$1)</f>
      </c>
      <c r="C532" s="14">
        <f>COUNTIFS(Table1[Date],Sheet1!$A532,Table1[Sentiment V1],Sheet1!C$1)</f>
      </c>
      <c r="D532" s="14">
        <f>COUNTIFS(Table1[Date],Sheet1!$A532,Table1[Sentiment V1],Sheet1!D$1)</f>
      </c>
      <c r="E532" s="15">
        <f>SUMIFS(Sheet2!B:B,Sheet2!A:A,Sheet1!A532)</f>
      </c>
      <c r="F532" s="14">
        <f>B532-C532</f>
      </c>
      <c r="G532" s="12"/>
      <c r="H532" s="13"/>
    </row>
    <row x14ac:dyDescent="0.25" r="533" customHeight="1" ht="18.75">
      <c r="A533" s="9">
        <v>44624</v>
      </c>
      <c r="B533" s="14">
        <f>COUNTIFS(Table1[Date],Sheet1!$A533,Table1[Sentiment V1],Sheet1!B$1)</f>
      </c>
      <c r="C533" s="14">
        <f>COUNTIFS(Table1[Date],Sheet1!$A533,Table1[Sentiment V1],Sheet1!C$1)</f>
      </c>
      <c r="D533" s="14">
        <f>COUNTIFS(Table1[Date],Sheet1!$A533,Table1[Sentiment V1],Sheet1!D$1)</f>
      </c>
      <c r="E533" s="16">
        <f>SUMIFS(Sheet2!B:B,Sheet2!A:A,Sheet1!A533)</f>
      </c>
      <c r="F533" s="14">
        <f>B533-C533</f>
      </c>
      <c r="G533" s="12"/>
      <c r="H533" s="13"/>
    </row>
    <row x14ac:dyDescent="0.25" r="534" customHeight="1" ht="18.75">
      <c r="A534" s="9">
        <v>44622</v>
      </c>
      <c r="B534" s="14">
        <f>COUNTIFS(Table1[Date],Sheet1!$A534,Table1[Sentiment V1],Sheet1!B$1)</f>
      </c>
      <c r="C534" s="14">
        <f>COUNTIFS(Table1[Date],Sheet1!$A534,Table1[Sentiment V1],Sheet1!C$1)</f>
      </c>
      <c r="D534" s="14">
        <f>COUNTIFS(Table1[Date],Sheet1!$A534,Table1[Sentiment V1],Sheet1!D$1)</f>
      </c>
      <c r="E534" s="16">
        <f>SUMIFS(Sheet2!B:B,Sheet2!A:A,Sheet1!A534)</f>
      </c>
      <c r="F534" s="14">
        <f>B534-C534</f>
      </c>
      <c r="G534" s="12"/>
      <c r="H534" s="13"/>
    </row>
    <row x14ac:dyDescent="0.25" r="535" customHeight="1" ht="18.75">
      <c r="A535" s="9">
        <v>44621</v>
      </c>
      <c r="B535" s="14">
        <f>COUNTIFS(Table1[Date],Sheet1!$A535,Table1[Sentiment V1],Sheet1!B$1)</f>
      </c>
      <c r="C535" s="14">
        <f>COUNTIFS(Table1[Date],Sheet1!$A535,Table1[Sentiment V1],Sheet1!C$1)</f>
      </c>
      <c r="D535" s="14">
        <f>COUNTIFS(Table1[Date],Sheet1!$A535,Table1[Sentiment V1],Sheet1!D$1)</f>
      </c>
      <c r="E535" s="16">
        <f>SUMIFS(Sheet2!B:B,Sheet2!A:A,Sheet1!A535)</f>
      </c>
      <c r="F535" s="14">
        <f>B535-C535</f>
      </c>
      <c r="G535" s="12"/>
      <c r="H535" s="13"/>
    </row>
    <row x14ac:dyDescent="0.25" r="536" customHeight="1" ht="18.75">
      <c r="A536" s="9">
        <v>44617</v>
      </c>
      <c r="B536" s="14">
        <f>COUNTIFS(Table1[Date],Sheet1!$A536,Table1[Sentiment V1],Sheet1!B$1)</f>
      </c>
      <c r="C536" s="14">
        <f>COUNTIFS(Table1[Date],Sheet1!$A536,Table1[Sentiment V1],Sheet1!C$1)</f>
      </c>
      <c r="D536" s="14">
        <f>COUNTIFS(Table1[Date],Sheet1!$A536,Table1[Sentiment V1],Sheet1!D$1)</f>
      </c>
      <c r="E536" s="16">
        <f>SUMIFS(Sheet2!B:B,Sheet2!A:A,Sheet1!A536)</f>
      </c>
      <c r="F536" s="14">
        <f>B536-C536</f>
      </c>
      <c r="G536" s="12"/>
      <c r="H536" s="13"/>
    </row>
    <row x14ac:dyDescent="0.25" r="537" customHeight="1" ht="18.75">
      <c r="A537" s="9">
        <v>44616</v>
      </c>
      <c r="B537" s="14">
        <f>COUNTIFS(Table1[Date],Sheet1!$A537,Table1[Sentiment V1],Sheet1!B$1)</f>
      </c>
      <c r="C537" s="14">
        <f>COUNTIFS(Table1[Date],Sheet1!$A537,Table1[Sentiment V1],Sheet1!C$1)</f>
      </c>
      <c r="D537" s="14">
        <f>COUNTIFS(Table1[Date],Sheet1!$A537,Table1[Sentiment V1],Sheet1!D$1)</f>
      </c>
      <c r="E537" s="16">
        <f>SUMIFS(Sheet2!B:B,Sheet2!A:A,Sheet1!A537)</f>
      </c>
      <c r="F537" s="14">
        <f>B537-C537</f>
      </c>
      <c r="G537" s="12"/>
      <c r="H537" s="13"/>
    </row>
    <row x14ac:dyDescent="0.25" r="538" customHeight="1" ht="18.75">
      <c r="A538" s="9">
        <v>44614</v>
      </c>
      <c r="B538" s="14">
        <f>COUNTIFS(Table1[Date],Sheet1!$A538,Table1[Sentiment V1],Sheet1!B$1)</f>
      </c>
      <c r="C538" s="14">
        <f>COUNTIFS(Table1[Date],Sheet1!$A538,Table1[Sentiment V1],Sheet1!C$1)</f>
      </c>
      <c r="D538" s="14">
        <f>COUNTIFS(Table1[Date],Sheet1!$A538,Table1[Sentiment V1],Sheet1!D$1)</f>
      </c>
      <c r="E538" s="16">
        <f>SUMIFS(Sheet2!B:B,Sheet2!A:A,Sheet1!A538)</f>
      </c>
      <c r="F538" s="14">
        <f>B538-C538</f>
      </c>
      <c r="G538" s="12"/>
      <c r="H538" s="13"/>
    </row>
    <row x14ac:dyDescent="0.25" r="539" customHeight="1" ht="18.75">
      <c r="A539" s="9">
        <v>44613</v>
      </c>
      <c r="B539" s="14">
        <f>COUNTIFS(Table1[Date],Sheet1!$A539,Table1[Sentiment V1],Sheet1!B$1)</f>
      </c>
      <c r="C539" s="14">
        <f>COUNTIFS(Table1[Date],Sheet1!$A539,Table1[Sentiment V1],Sheet1!C$1)</f>
      </c>
      <c r="D539" s="14">
        <f>COUNTIFS(Table1[Date],Sheet1!$A539,Table1[Sentiment V1],Sheet1!D$1)</f>
      </c>
      <c r="E539" s="16">
        <f>SUMIFS(Sheet2!B:B,Sheet2!A:A,Sheet1!A539)</f>
      </c>
      <c r="F539" s="14">
        <f>B539-C539</f>
      </c>
      <c r="G539" s="12"/>
      <c r="H539" s="13"/>
    </row>
    <row x14ac:dyDescent="0.25" r="540" customHeight="1" ht="18.75">
      <c r="A540" s="9">
        <v>44609</v>
      </c>
      <c r="B540" s="14">
        <f>COUNTIFS(Table1[Date],Sheet1!$A540,Table1[Sentiment V1],Sheet1!B$1)</f>
      </c>
      <c r="C540" s="14">
        <f>COUNTIFS(Table1[Date],Sheet1!$A540,Table1[Sentiment V1],Sheet1!C$1)</f>
      </c>
      <c r="D540" s="14">
        <f>COUNTIFS(Table1[Date],Sheet1!$A540,Table1[Sentiment V1],Sheet1!D$1)</f>
      </c>
      <c r="E540" s="16">
        <f>SUMIFS(Sheet2!B:B,Sheet2!A:A,Sheet1!A540)</f>
      </c>
      <c r="F540" s="14">
        <f>B540-C540</f>
      </c>
      <c r="G540" s="12"/>
      <c r="H540" s="13"/>
    </row>
    <row x14ac:dyDescent="0.25" r="541" customHeight="1" ht="18.75">
      <c r="A541" s="9">
        <v>44606</v>
      </c>
      <c r="B541" s="14">
        <f>COUNTIFS(Table1[Date],Sheet1!$A541,Table1[Sentiment V1],Sheet1!B$1)</f>
      </c>
      <c r="C541" s="14">
        <f>COUNTIFS(Table1[Date],Sheet1!$A541,Table1[Sentiment V1],Sheet1!C$1)</f>
      </c>
      <c r="D541" s="14">
        <f>COUNTIFS(Table1[Date],Sheet1!$A541,Table1[Sentiment V1],Sheet1!D$1)</f>
      </c>
      <c r="E541" s="16">
        <f>SUMIFS(Sheet2!B:B,Sheet2!A:A,Sheet1!A541)</f>
      </c>
      <c r="F541" s="14">
        <f>B541-C541</f>
      </c>
      <c r="G541" s="12"/>
      <c r="H541" s="13"/>
    </row>
    <row x14ac:dyDescent="0.25" r="542" customHeight="1" ht="18.75" hidden="1">
      <c r="A542" s="9">
        <v>44597</v>
      </c>
      <c r="B542" s="14">
        <f>COUNTIFS(Table1[Date],Sheet1!$A542,Table1[Sentiment V1],Sheet1!B$1)</f>
      </c>
      <c r="C542" s="14">
        <f>COUNTIFS(Table1[Date],Sheet1!$A542,Table1[Sentiment V1],Sheet1!C$1)</f>
      </c>
      <c r="D542" s="14">
        <f>COUNTIFS(Table1[Date],Sheet1!$A542,Table1[Sentiment V1],Sheet1!D$1)</f>
      </c>
      <c r="E542" s="15">
        <f>SUMIFS(Sheet2!B:B,Sheet2!A:A,Sheet1!A542)</f>
      </c>
      <c r="F542" s="14">
        <f>B542-C542</f>
      </c>
      <c r="G542" s="12"/>
      <c r="H542" s="13"/>
    </row>
    <row x14ac:dyDescent="0.25" r="543" customHeight="1" ht="18.75">
      <c r="A543" s="9">
        <v>44593</v>
      </c>
      <c r="B543" s="14">
        <f>COUNTIFS(Table1[Date],Sheet1!$A543,Table1[Sentiment V1],Sheet1!B$1)</f>
      </c>
      <c r="C543" s="14">
        <f>COUNTIFS(Table1[Date],Sheet1!$A543,Table1[Sentiment V1],Sheet1!C$1)</f>
      </c>
      <c r="D543" s="14">
        <f>COUNTIFS(Table1[Date],Sheet1!$A543,Table1[Sentiment V1],Sheet1!D$1)</f>
      </c>
      <c r="E543" s="16">
        <f>SUMIFS(Sheet2!B:B,Sheet2!A:A,Sheet1!A543)</f>
      </c>
      <c r="F543" s="14">
        <f>B543-C543</f>
      </c>
      <c r="G543" s="12"/>
      <c r="H543" s="13"/>
    </row>
    <row x14ac:dyDescent="0.25" r="544" customHeight="1" ht="18.75">
      <c r="A544" s="9">
        <v>44589</v>
      </c>
      <c r="B544" s="14">
        <f>COUNTIFS(Table1[Date],Sheet1!$A544,Table1[Sentiment V1],Sheet1!B$1)</f>
      </c>
      <c r="C544" s="14">
        <f>COUNTIFS(Table1[Date],Sheet1!$A544,Table1[Sentiment V1],Sheet1!C$1)</f>
      </c>
      <c r="D544" s="14">
        <f>COUNTIFS(Table1[Date],Sheet1!$A544,Table1[Sentiment V1],Sheet1!D$1)</f>
      </c>
      <c r="E544" s="16">
        <f>SUMIFS(Sheet2!B:B,Sheet2!A:A,Sheet1!A544)</f>
      </c>
      <c r="F544" s="14">
        <f>B544-C544</f>
      </c>
      <c r="G544" s="12"/>
      <c r="H544" s="13"/>
    </row>
    <row x14ac:dyDescent="0.25" r="545" customHeight="1" ht="18.75">
      <c r="A545" s="9">
        <v>44588</v>
      </c>
      <c r="B545" s="14">
        <f>COUNTIFS(Table1[Date],Sheet1!$A545,Table1[Sentiment V1],Sheet1!B$1)</f>
      </c>
      <c r="C545" s="14">
        <f>COUNTIFS(Table1[Date],Sheet1!$A545,Table1[Sentiment V1],Sheet1!C$1)</f>
      </c>
      <c r="D545" s="14">
        <f>COUNTIFS(Table1[Date],Sheet1!$A545,Table1[Sentiment V1],Sheet1!D$1)</f>
      </c>
      <c r="E545" s="16">
        <f>SUMIFS(Sheet2!B:B,Sheet2!A:A,Sheet1!A545)</f>
      </c>
      <c r="F545" s="14">
        <f>B545-C545</f>
      </c>
      <c r="G545" s="12"/>
      <c r="H545" s="13"/>
    </row>
    <row x14ac:dyDescent="0.25" r="546" customHeight="1" ht="18.75">
      <c r="A546" s="9">
        <v>44587</v>
      </c>
      <c r="B546" s="14">
        <f>COUNTIFS(Table1[Date],Sheet1!$A546,Table1[Sentiment V1],Sheet1!B$1)</f>
      </c>
      <c r="C546" s="14">
        <f>COUNTIFS(Table1[Date],Sheet1!$A546,Table1[Sentiment V1],Sheet1!C$1)</f>
      </c>
      <c r="D546" s="14">
        <f>COUNTIFS(Table1[Date],Sheet1!$A546,Table1[Sentiment V1],Sheet1!D$1)</f>
      </c>
      <c r="E546" s="16">
        <f>SUMIFS(Sheet2!B:B,Sheet2!A:A,Sheet1!A546)</f>
      </c>
      <c r="F546" s="14">
        <f>B546-C546</f>
      </c>
      <c r="G546" s="12"/>
      <c r="H546" s="13"/>
    </row>
    <row x14ac:dyDescent="0.25" r="547" customHeight="1" ht="18.75">
      <c r="A547" s="9">
        <v>44585</v>
      </c>
      <c r="B547" s="14">
        <f>COUNTIFS(Table1[Date],Sheet1!$A547,Table1[Sentiment V1],Sheet1!B$1)</f>
      </c>
      <c r="C547" s="14">
        <f>COUNTIFS(Table1[Date],Sheet1!$A547,Table1[Sentiment V1],Sheet1!C$1)</f>
      </c>
      <c r="D547" s="14">
        <f>COUNTIFS(Table1[Date],Sheet1!$A547,Table1[Sentiment V1],Sheet1!D$1)</f>
      </c>
      <c r="E547" s="16">
        <f>SUMIFS(Sheet2!B:B,Sheet2!A:A,Sheet1!A547)</f>
      </c>
      <c r="F547" s="14">
        <f>B547-C547</f>
      </c>
      <c r="G547" s="12"/>
      <c r="H547" s="13"/>
    </row>
    <row x14ac:dyDescent="0.25" r="548" customHeight="1" ht="18.75">
      <c r="A548" s="9">
        <v>44572</v>
      </c>
      <c r="B548" s="14">
        <f>COUNTIFS(Table1[Date],Sheet1!$A548,Table1[Sentiment V1],Sheet1!B$1)</f>
      </c>
      <c r="C548" s="14">
        <f>COUNTIFS(Table1[Date],Sheet1!$A548,Table1[Sentiment V1],Sheet1!C$1)</f>
      </c>
      <c r="D548" s="14">
        <f>COUNTIFS(Table1[Date],Sheet1!$A548,Table1[Sentiment V1],Sheet1!D$1)</f>
      </c>
      <c r="E548" s="16">
        <f>SUMIFS(Sheet2!B:B,Sheet2!A:A,Sheet1!A548)</f>
      </c>
      <c r="F548" s="14">
        <f>B548-C548</f>
      </c>
      <c r="G548" s="12"/>
      <c r="H548" s="13"/>
    </row>
    <row x14ac:dyDescent="0.25" r="549" customHeight="1" ht="18.75">
      <c r="A549" s="9">
        <v>44566</v>
      </c>
      <c r="B549" s="14">
        <f>COUNTIFS(Table1[Date],Sheet1!$A549,Table1[Sentiment V1],Sheet1!B$1)</f>
      </c>
      <c r="C549" s="14">
        <f>COUNTIFS(Table1[Date],Sheet1!$A549,Table1[Sentiment V1],Sheet1!C$1)</f>
      </c>
      <c r="D549" s="14">
        <f>COUNTIFS(Table1[Date],Sheet1!$A549,Table1[Sentiment V1],Sheet1!D$1)</f>
      </c>
      <c r="E549" s="16">
        <f>SUMIFS(Sheet2!B:B,Sheet2!A:A,Sheet1!A549)</f>
      </c>
      <c r="F549" s="14">
        <f>B549-C549</f>
      </c>
      <c r="G549" s="12"/>
      <c r="H549" s="13"/>
    </row>
    <row x14ac:dyDescent="0.25" r="550" customHeight="1" ht="18.75" hidden="1">
      <c r="A550" s="9">
        <v>44535</v>
      </c>
      <c r="B550" s="14">
        <f>COUNTIFS(Table1[Date],Sheet1!$A550,Table1[Sentiment V1],Sheet1!B$1)</f>
      </c>
      <c r="C550" s="14">
        <f>COUNTIFS(Table1[Date],Sheet1!$A550,Table1[Sentiment V1],Sheet1!C$1)</f>
      </c>
      <c r="D550" s="14">
        <f>COUNTIFS(Table1[Date],Sheet1!$A550,Table1[Sentiment V1],Sheet1!D$1)</f>
      </c>
      <c r="E550" s="15">
        <f>SUMIFS(Sheet2!B:B,Sheet2!A:A,Sheet1!A550)</f>
      </c>
      <c r="F550" s="14">
        <f>B550-C550</f>
      </c>
      <c r="G550" s="12"/>
      <c r="H550" s="13"/>
    </row>
    <row x14ac:dyDescent="0.25" r="551" customHeight="1" ht="18.75">
      <c r="A551" s="9">
        <v>44523</v>
      </c>
      <c r="B551" s="14">
        <f>COUNTIFS(Table1[Date],Sheet1!$A551,Table1[Sentiment V1],Sheet1!B$1)</f>
      </c>
      <c r="C551" s="14">
        <f>COUNTIFS(Table1[Date],Sheet1!$A551,Table1[Sentiment V1],Sheet1!C$1)</f>
      </c>
      <c r="D551" s="14">
        <f>COUNTIFS(Table1[Date],Sheet1!$A551,Table1[Sentiment V1],Sheet1!D$1)</f>
      </c>
      <c r="E551" s="16">
        <f>SUMIFS(Sheet2!B:B,Sheet2!A:A,Sheet1!A551)</f>
      </c>
      <c r="F551" s="14">
        <f>B551-C551</f>
      </c>
      <c r="G551" s="12"/>
      <c r="H551" s="13"/>
    </row>
    <row x14ac:dyDescent="0.25" r="552" customHeight="1" ht="18.75">
      <c r="A552" s="9">
        <v>44519</v>
      </c>
      <c r="B552" s="14">
        <f>COUNTIFS(Table1[Date],Sheet1!$A552,Table1[Sentiment V1],Sheet1!B$1)</f>
      </c>
      <c r="C552" s="14">
        <f>COUNTIFS(Table1[Date],Sheet1!$A552,Table1[Sentiment V1],Sheet1!C$1)</f>
      </c>
      <c r="D552" s="14">
        <f>COUNTIFS(Table1[Date],Sheet1!$A552,Table1[Sentiment V1],Sheet1!D$1)</f>
      </c>
      <c r="E552" s="16">
        <f>SUMIFS(Sheet2!B:B,Sheet2!A:A,Sheet1!A552)</f>
      </c>
      <c r="F552" s="14">
        <f>B552-C552</f>
      </c>
      <c r="G552" s="12"/>
      <c r="H552" s="13"/>
    </row>
    <row x14ac:dyDescent="0.25" r="553" customHeight="1" ht="18.75">
      <c r="A553" s="9">
        <v>44516</v>
      </c>
      <c r="B553" s="14">
        <f>COUNTIFS(Table1[Date],Sheet1!$A553,Table1[Sentiment V1],Sheet1!B$1)</f>
      </c>
      <c r="C553" s="14">
        <f>COUNTIFS(Table1[Date],Sheet1!$A553,Table1[Sentiment V1],Sheet1!C$1)</f>
      </c>
      <c r="D553" s="14">
        <f>COUNTIFS(Table1[Date],Sheet1!$A553,Table1[Sentiment V1],Sheet1!D$1)</f>
      </c>
      <c r="E553" s="16">
        <f>SUMIFS(Sheet2!B:B,Sheet2!A:A,Sheet1!A553)</f>
      </c>
      <c r="F553" s="14">
        <f>B553-C553</f>
      </c>
      <c r="G553" s="12"/>
      <c r="H553" s="13"/>
    </row>
    <row x14ac:dyDescent="0.25" r="554" customHeight="1" ht="18.75">
      <c r="A554" s="9">
        <v>44504</v>
      </c>
      <c r="B554" s="14">
        <f>COUNTIFS(Table1[Date],Sheet1!$A554,Table1[Sentiment V1],Sheet1!B$1)</f>
      </c>
      <c r="C554" s="14">
        <f>COUNTIFS(Table1[Date],Sheet1!$A554,Table1[Sentiment V1],Sheet1!C$1)</f>
      </c>
      <c r="D554" s="14">
        <f>COUNTIFS(Table1[Date],Sheet1!$A554,Table1[Sentiment V1],Sheet1!D$1)</f>
      </c>
      <c r="E554" s="16">
        <f>SUMIFS(Sheet2!B:B,Sheet2!A:A,Sheet1!A554)</f>
      </c>
      <c r="F554" s="14">
        <f>B554-C554</f>
      </c>
      <c r="G554" s="12"/>
      <c r="H554" s="13"/>
    </row>
    <row x14ac:dyDescent="0.25" r="555" customHeight="1" ht="18.75">
      <c r="A555" s="9">
        <v>44502</v>
      </c>
      <c r="B555" s="14">
        <f>COUNTIFS(Table1[Date],Sheet1!$A555,Table1[Sentiment V1],Sheet1!B$1)</f>
      </c>
      <c r="C555" s="14">
        <f>COUNTIFS(Table1[Date],Sheet1!$A555,Table1[Sentiment V1],Sheet1!C$1)</f>
      </c>
      <c r="D555" s="14">
        <f>COUNTIFS(Table1[Date],Sheet1!$A555,Table1[Sentiment V1],Sheet1!D$1)</f>
      </c>
      <c r="E555" s="16">
        <f>SUMIFS(Sheet2!B:B,Sheet2!A:A,Sheet1!A555)</f>
      </c>
      <c r="F555" s="14">
        <f>B555-C555</f>
      </c>
      <c r="G555" s="12"/>
      <c r="H555" s="13"/>
    </row>
    <row x14ac:dyDescent="0.25" r="556" customHeight="1" ht="18.75">
      <c r="A556" s="9">
        <v>44496</v>
      </c>
      <c r="B556" s="14">
        <f>COUNTIFS(Table1[Date],Sheet1!$A556,Table1[Sentiment V1],Sheet1!B$1)</f>
      </c>
      <c r="C556" s="14">
        <f>COUNTIFS(Table1[Date],Sheet1!$A556,Table1[Sentiment V1],Sheet1!C$1)</f>
      </c>
      <c r="D556" s="14">
        <f>COUNTIFS(Table1[Date],Sheet1!$A556,Table1[Sentiment V1],Sheet1!D$1)</f>
      </c>
      <c r="E556" s="16">
        <f>SUMIFS(Sheet2!B:B,Sheet2!A:A,Sheet1!A556)</f>
      </c>
      <c r="F556" s="14">
        <f>B556-C556</f>
      </c>
      <c r="G556" s="12"/>
      <c r="H556" s="13"/>
    </row>
    <row x14ac:dyDescent="0.25" r="557" customHeight="1" ht="18.75">
      <c r="A557" s="9">
        <v>44491</v>
      </c>
      <c r="B557" s="14">
        <f>COUNTIFS(Table1[Date],Sheet1!$A557,Table1[Sentiment V1],Sheet1!B$1)</f>
      </c>
      <c r="C557" s="14">
        <f>COUNTIFS(Table1[Date],Sheet1!$A557,Table1[Sentiment V1],Sheet1!C$1)</f>
      </c>
      <c r="D557" s="14">
        <f>COUNTIFS(Table1[Date],Sheet1!$A557,Table1[Sentiment V1],Sheet1!D$1)</f>
      </c>
      <c r="E557" s="16">
        <f>SUMIFS(Sheet2!B:B,Sheet2!A:A,Sheet1!A557)</f>
      </c>
      <c r="F557" s="14">
        <f>B557-C557</f>
      </c>
      <c r="G557" s="12"/>
      <c r="H557" s="13"/>
    </row>
    <row x14ac:dyDescent="0.25" r="558" customHeight="1" ht="18.75">
      <c r="A558" s="9">
        <v>44488</v>
      </c>
      <c r="B558" s="14">
        <f>COUNTIFS(Table1[Date],Sheet1!$A558,Table1[Sentiment V1],Sheet1!B$1)</f>
      </c>
      <c r="C558" s="14">
        <f>COUNTIFS(Table1[Date],Sheet1!$A558,Table1[Sentiment V1],Sheet1!C$1)</f>
      </c>
      <c r="D558" s="14">
        <f>COUNTIFS(Table1[Date],Sheet1!$A558,Table1[Sentiment V1],Sheet1!D$1)</f>
      </c>
      <c r="E558" s="16">
        <f>SUMIFS(Sheet2!B:B,Sheet2!A:A,Sheet1!A558)</f>
      </c>
      <c r="F558" s="14">
        <f>B558-C558</f>
      </c>
      <c r="G558" s="12"/>
      <c r="H558" s="13"/>
    </row>
    <row x14ac:dyDescent="0.25" r="559" customHeight="1" ht="18.75">
      <c r="A559" s="9">
        <v>44484</v>
      </c>
      <c r="B559" s="14">
        <f>COUNTIFS(Table1[Date],Sheet1!$A559,Table1[Sentiment V1],Sheet1!B$1)</f>
      </c>
      <c r="C559" s="14">
        <f>COUNTIFS(Table1[Date],Sheet1!$A559,Table1[Sentiment V1],Sheet1!C$1)</f>
      </c>
      <c r="D559" s="14">
        <f>COUNTIFS(Table1[Date],Sheet1!$A559,Table1[Sentiment V1],Sheet1!D$1)</f>
      </c>
      <c r="E559" s="16">
        <f>SUMIFS(Sheet2!B:B,Sheet2!A:A,Sheet1!A559)</f>
      </c>
      <c r="F559" s="14">
        <f>B559-C559</f>
      </c>
      <c r="G559" s="12"/>
      <c r="H559" s="13"/>
    </row>
    <row x14ac:dyDescent="0.25" r="560" customHeight="1" ht="18.75">
      <c r="A560" s="9">
        <v>44476</v>
      </c>
      <c r="B560" s="14">
        <f>COUNTIFS(Table1[Date],Sheet1!$A560,Table1[Sentiment V1],Sheet1!B$1)</f>
      </c>
      <c r="C560" s="14">
        <f>COUNTIFS(Table1[Date],Sheet1!$A560,Table1[Sentiment V1],Sheet1!C$1)</f>
      </c>
      <c r="D560" s="14">
        <f>COUNTIFS(Table1[Date],Sheet1!$A560,Table1[Sentiment V1],Sheet1!D$1)</f>
      </c>
      <c r="E560" s="16">
        <f>SUMIFS(Sheet2!B:B,Sheet2!A:A,Sheet1!A560)</f>
      </c>
      <c r="F560" s="14">
        <f>B560-C560</f>
      </c>
      <c r="G560" s="12"/>
      <c r="H560" s="13"/>
    </row>
    <row x14ac:dyDescent="0.25" r="561" customHeight="1" ht="18.75">
      <c r="A561" s="9">
        <v>44473</v>
      </c>
      <c r="B561" s="14">
        <f>COUNTIFS(Table1[Date],Sheet1!$A561,Table1[Sentiment V1],Sheet1!B$1)</f>
      </c>
      <c r="C561" s="14">
        <f>COUNTIFS(Table1[Date],Sheet1!$A561,Table1[Sentiment V1],Sheet1!C$1)</f>
      </c>
      <c r="D561" s="14">
        <f>COUNTIFS(Table1[Date],Sheet1!$A561,Table1[Sentiment V1],Sheet1!D$1)</f>
      </c>
      <c r="E561" s="16">
        <f>SUMIFS(Sheet2!B:B,Sheet2!A:A,Sheet1!A561)</f>
      </c>
      <c r="F561" s="14">
        <f>B561-C561</f>
      </c>
      <c r="G561" s="12"/>
      <c r="H561" s="13"/>
    </row>
    <row x14ac:dyDescent="0.25" r="562" customHeight="1" ht="18.75" hidden="1">
      <c r="A562" s="9">
        <v>44472</v>
      </c>
      <c r="B562" s="14">
        <f>COUNTIFS(Table1[Date],Sheet1!$A562,Table1[Sentiment V1],Sheet1!B$1)</f>
      </c>
      <c r="C562" s="14">
        <f>COUNTIFS(Table1[Date],Sheet1!$A562,Table1[Sentiment V1],Sheet1!C$1)</f>
      </c>
      <c r="D562" s="14">
        <f>COUNTIFS(Table1[Date],Sheet1!$A562,Table1[Sentiment V1],Sheet1!D$1)</f>
      </c>
      <c r="E562" s="15">
        <f>SUMIFS(Sheet2!B:B,Sheet2!A:A,Sheet1!A562)</f>
      </c>
      <c r="F562" s="14">
        <f>B562-C562</f>
      </c>
      <c r="G562" s="12"/>
      <c r="H562" s="13"/>
    </row>
    <row x14ac:dyDescent="0.25" r="563" customHeight="1" ht="18.75">
      <c r="A563" s="9">
        <v>44467</v>
      </c>
      <c r="B563" s="14">
        <f>COUNTIFS(Table1[Date],Sheet1!$A563,Table1[Sentiment V1],Sheet1!B$1)</f>
      </c>
      <c r="C563" s="14">
        <f>COUNTIFS(Table1[Date],Sheet1!$A563,Table1[Sentiment V1],Sheet1!C$1)</f>
      </c>
      <c r="D563" s="14">
        <f>COUNTIFS(Table1[Date],Sheet1!$A563,Table1[Sentiment V1],Sheet1!D$1)</f>
      </c>
      <c r="E563" s="16">
        <f>SUMIFS(Sheet2!B:B,Sheet2!A:A,Sheet1!A563)</f>
      </c>
      <c r="F563" s="14">
        <f>B563-C563</f>
      </c>
      <c r="G563" s="12"/>
      <c r="H563" s="13"/>
    </row>
    <row x14ac:dyDescent="0.25" r="564" customHeight="1" ht="18.75">
      <c r="A564" s="9">
        <v>44466</v>
      </c>
      <c r="B564" s="14">
        <f>COUNTIFS(Table1[Date],Sheet1!$A564,Table1[Sentiment V1],Sheet1!B$1)</f>
      </c>
      <c r="C564" s="14">
        <f>COUNTIFS(Table1[Date],Sheet1!$A564,Table1[Sentiment V1],Sheet1!C$1)</f>
      </c>
      <c r="D564" s="14">
        <f>COUNTIFS(Table1[Date],Sheet1!$A564,Table1[Sentiment V1],Sheet1!D$1)</f>
      </c>
      <c r="E564" s="16">
        <f>SUMIFS(Sheet2!B:B,Sheet2!A:A,Sheet1!A564)</f>
      </c>
      <c r="F564" s="14">
        <f>B564-C564</f>
      </c>
      <c r="G564" s="12"/>
      <c r="H564" s="13"/>
    </row>
    <row x14ac:dyDescent="0.25" r="565" customHeight="1" ht="18.75">
      <c r="A565" s="9">
        <v>44460</v>
      </c>
      <c r="B565" s="14">
        <f>COUNTIFS(Table1[Date],Sheet1!$A565,Table1[Sentiment V1],Sheet1!B$1)</f>
      </c>
      <c r="C565" s="14">
        <f>COUNTIFS(Table1[Date],Sheet1!$A565,Table1[Sentiment V1],Sheet1!C$1)</f>
      </c>
      <c r="D565" s="14">
        <f>COUNTIFS(Table1[Date],Sheet1!$A565,Table1[Sentiment V1],Sheet1!D$1)</f>
      </c>
      <c r="E565" s="16">
        <f>SUMIFS(Sheet2!B:B,Sheet2!A:A,Sheet1!A565)</f>
      </c>
      <c r="F565" s="14">
        <f>B565-C565</f>
      </c>
      <c r="G565" s="12"/>
      <c r="H565" s="13"/>
    </row>
    <row x14ac:dyDescent="0.25" r="566" customHeight="1" ht="18.75">
      <c r="A566" s="9">
        <v>44454</v>
      </c>
      <c r="B566" s="14">
        <f>COUNTIFS(Table1[Date],Sheet1!$A566,Table1[Sentiment V1],Sheet1!B$1)</f>
      </c>
      <c r="C566" s="14">
        <f>COUNTIFS(Table1[Date],Sheet1!$A566,Table1[Sentiment V1],Sheet1!C$1)</f>
      </c>
      <c r="D566" s="14">
        <f>COUNTIFS(Table1[Date],Sheet1!$A566,Table1[Sentiment V1],Sheet1!D$1)</f>
      </c>
      <c r="E566" s="16">
        <f>SUMIFS(Sheet2!B:B,Sheet2!A:A,Sheet1!A566)</f>
      </c>
      <c r="F566" s="14">
        <f>B566-C566</f>
      </c>
      <c r="G566" s="12"/>
      <c r="H566" s="13"/>
    </row>
    <row x14ac:dyDescent="0.25" r="567" customHeight="1" ht="18.75">
      <c r="A567" s="9">
        <v>44446</v>
      </c>
      <c r="B567" s="14">
        <f>COUNTIFS(Table1[Date],Sheet1!$A567,Table1[Sentiment V1],Sheet1!B$1)</f>
      </c>
      <c r="C567" s="14">
        <f>COUNTIFS(Table1[Date],Sheet1!$A567,Table1[Sentiment V1],Sheet1!C$1)</f>
      </c>
      <c r="D567" s="14">
        <f>COUNTIFS(Table1[Date],Sheet1!$A567,Table1[Sentiment V1],Sheet1!D$1)</f>
      </c>
      <c r="E567" s="16">
        <f>SUMIFS(Sheet2!B:B,Sheet2!A:A,Sheet1!A567)</f>
      </c>
      <c r="F567" s="14">
        <f>B567-C567</f>
      </c>
      <c r="G567" s="12"/>
      <c r="H567" s="13"/>
    </row>
    <row x14ac:dyDescent="0.25" r="568" customHeight="1" ht="18.75">
      <c r="A568" s="9">
        <v>44441</v>
      </c>
      <c r="B568" s="14">
        <f>COUNTIFS(Table1[Date],Sheet1!$A568,Table1[Sentiment V1],Sheet1!B$1)</f>
      </c>
      <c r="C568" s="14">
        <f>COUNTIFS(Table1[Date],Sheet1!$A568,Table1[Sentiment V1],Sheet1!C$1)</f>
      </c>
      <c r="D568" s="14">
        <f>COUNTIFS(Table1[Date],Sheet1!$A568,Table1[Sentiment V1],Sheet1!D$1)</f>
      </c>
      <c r="E568" s="16">
        <f>SUMIFS(Sheet2!B:B,Sheet2!A:A,Sheet1!A568)</f>
      </c>
      <c r="F568" s="14">
        <f>B568-C568</f>
      </c>
      <c r="G568" s="12"/>
      <c r="H568" s="13"/>
    </row>
    <row x14ac:dyDescent="0.25" r="569" customHeight="1" ht="18.75">
      <c r="A569" s="9">
        <v>44421</v>
      </c>
      <c r="B569" s="14">
        <f>COUNTIFS(Table1[Date],Sheet1!$A569,Table1[Sentiment V1],Sheet1!B$1)</f>
      </c>
      <c r="C569" s="14">
        <f>COUNTIFS(Table1[Date],Sheet1!$A569,Table1[Sentiment V1],Sheet1!C$1)</f>
      </c>
      <c r="D569" s="14">
        <f>COUNTIFS(Table1[Date],Sheet1!$A569,Table1[Sentiment V1],Sheet1!D$1)</f>
      </c>
      <c r="E569" s="16">
        <f>SUMIFS(Sheet2!B:B,Sheet2!A:A,Sheet1!A569)</f>
      </c>
      <c r="F569" s="14">
        <f>B569-C569</f>
      </c>
      <c r="G569" s="12"/>
      <c r="H569" s="13"/>
    </row>
    <row x14ac:dyDescent="0.25" r="570" customHeight="1" ht="18.75">
      <c r="A570" s="9">
        <v>44420</v>
      </c>
      <c r="B570" s="14">
        <f>COUNTIFS(Table1[Date],Sheet1!$A570,Table1[Sentiment V1],Sheet1!B$1)</f>
      </c>
      <c r="C570" s="14">
        <f>COUNTIFS(Table1[Date],Sheet1!$A570,Table1[Sentiment V1],Sheet1!C$1)</f>
      </c>
      <c r="D570" s="14">
        <f>COUNTIFS(Table1[Date],Sheet1!$A570,Table1[Sentiment V1],Sheet1!D$1)</f>
      </c>
      <c r="E570" s="16">
        <f>SUMIFS(Sheet2!B:B,Sheet2!A:A,Sheet1!A570)</f>
      </c>
      <c r="F570" s="14">
        <f>B570-C570</f>
      </c>
      <c r="G570" s="12"/>
      <c r="H570" s="13"/>
    </row>
    <row x14ac:dyDescent="0.25" r="571" customHeight="1" ht="18.75">
      <c r="A571" s="9">
        <v>44391</v>
      </c>
      <c r="B571" s="14">
        <f>COUNTIFS(Table1[Date],Sheet1!$A571,Table1[Sentiment V1],Sheet1!B$1)</f>
      </c>
      <c r="C571" s="14">
        <f>COUNTIFS(Table1[Date],Sheet1!$A571,Table1[Sentiment V1],Sheet1!C$1)</f>
      </c>
      <c r="D571" s="14">
        <f>COUNTIFS(Table1[Date],Sheet1!$A571,Table1[Sentiment V1],Sheet1!D$1)</f>
      </c>
      <c r="E571" s="16">
        <f>SUMIFS(Sheet2!B:B,Sheet2!A:A,Sheet1!A571)</f>
      </c>
      <c r="F571" s="14">
        <f>B571-C571</f>
      </c>
      <c r="G571" s="12"/>
      <c r="H571" s="13"/>
    </row>
    <row x14ac:dyDescent="0.25" r="572" customHeight="1" ht="18.75">
      <c r="A572" s="9">
        <v>44390</v>
      </c>
      <c r="B572" s="14">
        <f>COUNTIFS(Table1[Date],Sheet1!$A572,Table1[Sentiment V1],Sheet1!B$1)</f>
      </c>
      <c r="C572" s="14">
        <f>COUNTIFS(Table1[Date],Sheet1!$A572,Table1[Sentiment V1],Sheet1!C$1)</f>
      </c>
      <c r="D572" s="14">
        <f>COUNTIFS(Table1[Date],Sheet1!$A572,Table1[Sentiment V1],Sheet1!D$1)</f>
      </c>
      <c r="E572" s="16">
        <f>SUMIFS(Sheet2!B:B,Sheet2!A:A,Sheet1!A572)</f>
      </c>
      <c r="F572" s="14">
        <f>B572-C572</f>
      </c>
      <c r="G572" s="12"/>
      <c r="H572" s="13"/>
    </row>
    <row x14ac:dyDescent="0.25" r="573" customHeight="1" ht="18.75">
      <c r="A573" s="9">
        <v>44383</v>
      </c>
      <c r="B573" s="14">
        <f>COUNTIFS(Table1[Date],Sheet1!$A573,Table1[Sentiment V1],Sheet1!B$1)</f>
      </c>
      <c r="C573" s="14">
        <f>COUNTIFS(Table1[Date],Sheet1!$A573,Table1[Sentiment V1],Sheet1!C$1)</f>
      </c>
      <c r="D573" s="14">
        <f>COUNTIFS(Table1[Date],Sheet1!$A573,Table1[Sentiment V1],Sheet1!D$1)</f>
      </c>
      <c r="E573" s="16">
        <f>SUMIFS(Sheet2!B:B,Sheet2!A:A,Sheet1!A573)</f>
      </c>
      <c r="F573" s="14">
        <f>B573-C573</f>
      </c>
      <c r="G573" s="12"/>
      <c r="H573" s="13"/>
    </row>
    <row x14ac:dyDescent="0.25" r="574" customHeight="1" ht="18.75">
      <c r="A574" s="9">
        <v>44379</v>
      </c>
      <c r="B574" s="14">
        <f>COUNTIFS(Table1[Date],Sheet1!$A574,Table1[Sentiment V1],Sheet1!B$1)</f>
      </c>
      <c r="C574" s="14">
        <f>COUNTIFS(Table1[Date],Sheet1!$A574,Table1[Sentiment V1],Sheet1!C$1)</f>
      </c>
      <c r="D574" s="14">
        <f>COUNTIFS(Table1[Date],Sheet1!$A574,Table1[Sentiment V1],Sheet1!D$1)</f>
      </c>
      <c r="E574" s="16">
        <f>SUMIFS(Sheet2!B:B,Sheet2!A:A,Sheet1!A574)</f>
      </c>
      <c r="F574" s="14">
        <f>B574-C574</f>
      </c>
      <c r="G574" s="12"/>
      <c r="H574" s="13"/>
    </row>
    <row x14ac:dyDescent="0.25" r="575" customHeight="1" ht="18.75">
      <c r="A575" s="9">
        <v>44370</v>
      </c>
      <c r="B575" s="14">
        <f>COUNTIFS(Table1[Date],Sheet1!$A575,Table1[Sentiment V1],Sheet1!B$1)</f>
      </c>
      <c r="C575" s="14">
        <f>COUNTIFS(Table1[Date],Sheet1!$A575,Table1[Sentiment V1],Sheet1!C$1)</f>
      </c>
      <c r="D575" s="14">
        <f>COUNTIFS(Table1[Date],Sheet1!$A575,Table1[Sentiment V1],Sheet1!D$1)</f>
      </c>
      <c r="E575" s="16">
        <f>SUMIFS(Sheet2!B:B,Sheet2!A:A,Sheet1!A575)</f>
      </c>
      <c r="F575" s="14">
        <f>B575-C575</f>
      </c>
      <c r="G575" s="12"/>
      <c r="H575" s="13"/>
    </row>
    <row x14ac:dyDescent="0.25" r="576" customHeight="1" ht="18.75">
      <c r="A576" s="9">
        <v>44365</v>
      </c>
      <c r="B576" s="14">
        <f>COUNTIFS(Table1[Date],Sheet1!$A576,Table1[Sentiment V1],Sheet1!B$1)</f>
      </c>
      <c r="C576" s="14">
        <f>COUNTIFS(Table1[Date],Sheet1!$A576,Table1[Sentiment V1],Sheet1!C$1)</f>
      </c>
      <c r="D576" s="14">
        <f>COUNTIFS(Table1[Date],Sheet1!$A576,Table1[Sentiment V1],Sheet1!D$1)</f>
      </c>
      <c r="E576" s="16">
        <f>SUMIFS(Sheet2!B:B,Sheet2!A:A,Sheet1!A576)</f>
      </c>
      <c r="F576" s="14">
        <f>B576-C576</f>
      </c>
      <c r="G576" s="12"/>
      <c r="H576" s="13"/>
    </row>
    <row x14ac:dyDescent="0.25" r="577" customHeight="1" ht="18.75">
      <c r="A577" s="9">
        <v>44348</v>
      </c>
      <c r="B577" s="14">
        <f>COUNTIFS(Table1[Date],Sheet1!$A577,Table1[Sentiment V1],Sheet1!B$1)</f>
      </c>
      <c r="C577" s="14">
        <f>COUNTIFS(Table1[Date],Sheet1!$A577,Table1[Sentiment V1],Sheet1!C$1)</f>
      </c>
      <c r="D577" s="14">
        <f>COUNTIFS(Table1[Date],Sheet1!$A577,Table1[Sentiment V1],Sheet1!D$1)</f>
      </c>
      <c r="E577" s="16">
        <f>SUMIFS(Sheet2!B:B,Sheet2!A:A,Sheet1!A577)</f>
      </c>
      <c r="F577" s="14">
        <f>B577-C577</f>
      </c>
      <c r="G577" s="12"/>
      <c r="H577" s="13"/>
    </row>
    <row x14ac:dyDescent="0.25" r="578" customHeight="1" ht="18.75">
      <c r="A578" s="9">
        <v>44334</v>
      </c>
      <c r="B578" s="14">
        <f>COUNTIFS(Table1[Date],Sheet1!$A578,Table1[Sentiment V1],Sheet1!B$1)</f>
      </c>
      <c r="C578" s="14">
        <f>COUNTIFS(Table1[Date],Sheet1!$A578,Table1[Sentiment V1],Sheet1!C$1)</f>
      </c>
      <c r="D578" s="14">
        <f>COUNTIFS(Table1[Date],Sheet1!$A578,Table1[Sentiment V1],Sheet1!D$1)</f>
      </c>
      <c r="E578" s="16">
        <f>SUMIFS(Sheet2!B:B,Sheet2!A:A,Sheet1!A578)</f>
      </c>
      <c r="F578" s="14">
        <f>B578-C578</f>
      </c>
      <c r="G578" s="12"/>
      <c r="H578" s="13"/>
    </row>
    <row x14ac:dyDescent="0.25" r="579" customHeight="1" ht="18.75">
      <c r="A579" s="9">
        <v>44330</v>
      </c>
      <c r="B579" s="14">
        <f>COUNTIFS(Table1[Date],Sheet1!$A579,Table1[Sentiment V1],Sheet1!B$1)</f>
      </c>
      <c r="C579" s="14">
        <f>COUNTIFS(Table1[Date],Sheet1!$A579,Table1[Sentiment V1],Sheet1!C$1)</f>
      </c>
      <c r="D579" s="14">
        <f>COUNTIFS(Table1[Date],Sheet1!$A579,Table1[Sentiment V1],Sheet1!D$1)</f>
      </c>
      <c r="E579" s="16">
        <f>SUMIFS(Sheet2!B:B,Sheet2!A:A,Sheet1!A579)</f>
      </c>
      <c r="F579" s="14">
        <f>B579-C579</f>
      </c>
      <c r="G579" s="12"/>
      <c r="H579" s="13"/>
    </row>
    <row x14ac:dyDescent="0.25" r="580" customHeight="1" ht="18.75">
      <c r="A580" s="9">
        <v>44328</v>
      </c>
      <c r="B580" s="14">
        <f>COUNTIFS(Table1[Date],Sheet1!$A580,Table1[Sentiment V1],Sheet1!B$1)</f>
      </c>
      <c r="C580" s="14">
        <f>COUNTIFS(Table1[Date],Sheet1!$A580,Table1[Sentiment V1],Sheet1!C$1)</f>
      </c>
      <c r="D580" s="14">
        <f>COUNTIFS(Table1[Date],Sheet1!$A580,Table1[Sentiment V1],Sheet1!D$1)</f>
      </c>
      <c r="E580" s="16">
        <f>SUMIFS(Sheet2!B:B,Sheet2!A:A,Sheet1!A580)</f>
      </c>
      <c r="F580" s="14">
        <f>B580-C580</f>
      </c>
      <c r="G580" s="12"/>
      <c r="H580" s="13"/>
    </row>
    <row x14ac:dyDescent="0.25" r="581" customHeight="1" ht="18.75">
      <c r="A581" s="9">
        <v>44327</v>
      </c>
      <c r="B581" s="14">
        <f>COUNTIFS(Table1[Date],Sheet1!$A581,Table1[Sentiment V1],Sheet1!B$1)</f>
      </c>
      <c r="C581" s="14">
        <f>COUNTIFS(Table1[Date],Sheet1!$A581,Table1[Sentiment V1],Sheet1!C$1)</f>
      </c>
      <c r="D581" s="14">
        <f>COUNTIFS(Table1[Date],Sheet1!$A581,Table1[Sentiment V1],Sheet1!D$1)</f>
      </c>
      <c r="E581" s="16">
        <f>SUMIFS(Sheet2!B:B,Sheet2!A:A,Sheet1!A581)</f>
      </c>
      <c r="F581" s="14">
        <f>B581-C581</f>
      </c>
      <c r="G581" s="12"/>
      <c r="H581" s="13"/>
    </row>
    <row x14ac:dyDescent="0.25" r="582" customHeight="1" ht="18.75">
      <c r="A582" s="9">
        <v>44302</v>
      </c>
      <c r="B582" s="14">
        <f>COUNTIFS(Table1[Date],Sheet1!$A582,Table1[Sentiment V1],Sheet1!B$1)</f>
      </c>
      <c r="C582" s="14">
        <f>COUNTIFS(Table1[Date],Sheet1!$A582,Table1[Sentiment V1],Sheet1!C$1)</f>
      </c>
      <c r="D582" s="14">
        <f>COUNTIFS(Table1[Date],Sheet1!$A582,Table1[Sentiment V1],Sheet1!D$1)</f>
      </c>
      <c r="E582" s="16">
        <f>SUMIFS(Sheet2!B:B,Sheet2!A:A,Sheet1!A582)</f>
      </c>
      <c r="F582" s="14">
        <f>B582-C582</f>
      </c>
      <c r="G582" s="12"/>
      <c r="H582" s="13"/>
    </row>
    <row x14ac:dyDescent="0.25" r="583" customHeight="1" ht="18.75">
      <c r="A583" s="9">
        <v>44301</v>
      </c>
      <c r="B583" s="14">
        <f>COUNTIFS(Table1[Date],Sheet1!$A583,Table1[Sentiment V1],Sheet1!B$1)</f>
      </c>
      <c r="C583" s="14">
        <f>COUNTIFS(Table1[Date],Sheet1!$A583,Table1[Sentiment V1],Sheet1!C$1)</f>
      </c>
      <c r="D583" s="14">
        <f>COUNTIFS(Table1[Date],Sheet1!$A583,Table1[Sentiment V1],Sheet1!D$1)</f>
      </c>
      <c r="E583" s="16">
        <f>SUMIFS(Sheet2!B:B,Sheet2!A:A,Sheet1!A583)</f>
      </c>
      <c r="F583" s="14">
        <f>B583-C583</f>
      </c>
      <c r="G583" s="12"/>
      <c r="H583" s="13"/>
    </row>
    <row x14ac:dyDescent="0.25" r="584" customHeight="1" ht="18.75">
      <c r="A584" s="9">
        <v>44295</v>
      </c>
      <c r="B584" s="14">
        <f>COUNTIFS(Table1[Date],Sheet1!$A584,Table1[Sentiment V1],Sheet1!B$1)</f>
      </c>
      <c r="C584" s="14">
        <f>COUNTIFS(Table1[Date],Sheet1!$A584,Table1[Sentiment V1],Sheet1!C$1)</f>
      </c>
      <c r="D584" s="14">
        <f>COUNTIFS(Table1[Date],Sheet1!$A584,Table1[Sentiment V1],Sheet1!D$1)</f>
      </c>
      <c r="E584" s="16">
        <f>SUMIFS(Sheet2!B:B,Sheet2!A:A,Sheet1!A584)</f>
      </c>
      <c r="F584" s="14">
        <f>B584-C584</f>
      </c>
      <c r="G584" s="12"/>
      <c r="H584" s="13"/>
    </row>
    <row x14ac:dyDescent="0.25" r="585" customHeight="1" ht="18.75">
      <c r="A585" s="9">
        <v>44274</v>
      </c>
      <c r="B585" s="14">
        <f>COUNTIFS(Table1[Date],Sheet1!$A585,Table1[Sentiment V1],Sheet1!B$1)</f>
      </c>
      <c r="C585" s="14">
        <f>COUNTIFS(Table1[Date],Sheet1!$A585,Table1[Sentiment V1],Sheet1!C$1)</f>
      </c>
      <c r="D585" s="14">
        <f>COUNTIFS(Table1[Date],Sheet1!$A585,Table1[Sentiment V1],Sheet1!D$1)</f>
      </c>
      <c r="E585" s="16">
        <f>SUMIFS(Sheet2!B:B,Sheet2!A:A,Sheet1!A585)</f>
      </c>
      <c r="F585" s="14">
        <f>B585-C585</f>
      </c>
      <c r="G585" s="12"/>
      <c r="H585" s="13"/>
    </row>
    <row x14ac:dyDescent="0.25" r="586" customHeight="1" ht="18.75">
      <c r="A586" s="9">
        <v>44258</v>
      </c>
      <c r="B586" s="14">
        <f>COUNTIFS(Table1[Date],Sheet1!$A586,Table1[Sentiment V1],Sheet1!B$1)</f>
      </c>
      <c r="C586" s="14">
        <f>COUNTIFS(Table1[Date],Sheet1!$A586,Table1[Sentiment V1],Sheet1!C$1)</f>
      </c>
      <c r="D586" s="14">
        <f>COUNTIFS(Table1[Date],Sheet1!$A586,Table1[Sentiment V1],Sheet1!D$1)</f>
      </c>
      <c r="E586" s="16">
        <f>SUMIFS(Sheet2!B:B,Sheet2!A:A,Sheet1!A586)</f>
      </c>
      <c r="F586" s="14">
        <f>B586-C586</f>
      </c>
      <c r="G586" s="12"/>
      <c r="H586" s="13"/>
    </row>
    <row x14ac:dyDescent="0.25" r="587" customHeight="1" ht="18.75">
      <c r="A587" s="9">
        <v>44249</v>
      </c>
      <c r="B587" s="14">
        <f>COUNTIFS(Table1[Date],Sheet1!$A587,Table1[Sentiment V1],Sheet1!B$1)</f>
      </c>
      <c r="C587" s="14">
        <f>COUNTIFS(Table1[Date],Sheet1!$A587,Table1[Sentiment V1],Sheet1!C$1)</f>
      </c>
      <c r="D587" s="14">
        <f>COUNTIFS(Table1[Date],Sheet1!$A587,Table1[Sentiment V1],Sheet1!D$1)</f>
      </c>
      <c r="E587" s="16">
        <f>SUMIFS(Sheet2!B:B,Sheet2!A:A,Sheet1!A587)</f>
      </c>
      <c r="F587" s="14">
        <f>B587-C587</f>
      </c>
      <c r="G587" s="12"/>
      <c r="H587" s="13"/>
    </row>
    <row x14ac:dyDescent="0.25" r="588" customHeight="1" ht="18.75">
      <c r="A588" s="9">
        <v>44242</v>
      </c>
      <c r="B588" s="14">
        <f>COUNTIFS(Table1[Date],Sheet1!$A588,Table1[Sentiment V1],Sheet1!B$1)</f>
      </c>
      <c r="C588" s="14">
        <f>COUNTIFS(Table1[Date],Sheet1!$A588,Table1[Sentiment V1],Sheet1!C$1)</f>
      </c>
      <c r="D588" s="14">
        <f>COUNTIFS(Table1[Date],Sheet1!$A588,Table1[Sentiment V1],Sheet1!D$1)</f>
      </c>
      <c r="E588" s="16">
        <f>SUMIFS(Sheet2!B:B,Sheet2!A:A,Sheet1!A588)</f>
      </c>
      <c r="F588" s="14">
        <f>B588-C588</f>
      </c>
      <c r="G588" s="12"/>
      <c r="H588" s="13"/>
    </row>
    <row x14ac:dyDescent="0.25" r="589" customHeight="1" ht="18.75">
      <c r="A589" s="9">
        <v>44235</v>
      </c>
      <c r="B589" s="14">
        <f>COUNTIFS(Table1[Date],Sheet1!$A589,Table1[Sentiment V1],Sheet1!B$1)</f>
      </c>
      <c r="C589" s="14">
        <f>COUNTIFS(Table1[Date],Sheet1!$A589,Table1[Sentiment V1],Sheet1!C$1)</f>
      </c>
      <c r="D589" s="14">
        <f>COUNTIFS(Table1[Date],Sheet1!$A589,Table1[Sentiment V1],Sheet1!D$1)</f>
      </c>
      <c r="E589" s="16">
        <f>SUMIFS(Sheet2!B:B,Sheet2!A:A,Sheet1!A589)</f>
      </c>
      <c r="F589" s="14">
        <f>B589-C589</f>
      </c>
      <c r="G589" s="12"/>
      <c r="H589" s="13"/>
    </row>
    <row x14ac:dyDescent="0.25" r="590" customHeight="1" ht="18.75" hidden="1">
      <c r="A590" s="9">
        <v>44233</v>
      </c>
      <c r="B590" s="14">
        <f>COUNTIFS(Table1[Date],Sheet1!$A590,Table1[Sentiment V1],Sheet1!B$1)</f>
      </c>
      <c r="C590" s="14">
        <f>COUNTIFS(Table1[Date],Sheet1!$A590,Table1[Sentiment V1],Sheet1!C$1)</f>
      </c>
      <c r="D590" s="14">
        <f>COUNTIFS(Table1[Date],Sheet1!$A590,Table1[Sentiment V1],Sheet1!D$1)</f>
      </c>
      <c r="E590" s="15">
        <f>SUMIFS(Sheet2!B:B,Sheet2!A:A,Sheet1!A590)</f>
      </c>
      <c r="F590" s="14">
        <f>B590-C590</f>
      </c>
      <c r="G590" s="12"/>
      <c r="H590" s="13"/>
    </row>
    <row x14ac:dyDescent="0.25" r="591" customHeight="1" ht="18.75">
      <c r="A591" s="9">
        <v>44231</v>
      </c>
      <c r="B591" s="14">
        <f>COUNTIFS(Table1[Date],Sheet1!$A591,Table1[Sentiment V1],Sheet1!B$1)</f>
      </c>
      <c r="C591" s="14">
        <f>COUNTIFS(Table1[Date],Sheet1!$A591,Table1[Sentiment V1],Sheet1!C$1)</f>
      </c>
      <c r="D591" s="14">
        <f>COUNTIFS(Table1[Date],Sheet1!$A591,Table1[Sentiment V1],Sheet1!D$1)</f>
      </c>
      <c r="E591" s="16">
        <f>SUMIFS(Sheet2!B:B,Sheet2!A:A,Sheet1!A591)</f>
      </c>
      <c r="F591" s="14">
        <f>B591-C591</f>
      </c>
      <c r="G591" s="12"/>
      <c r="H591" s="13"/>
    </row>
    <row x14ac:dyDescent="0.25" r="592" customHeight="1" ht="18.75">
      <c r="A592" s="9">
        <v>44228</v>
      </c>
      <c r="B592" s="14">
        <f>COUNTIFS(Table1[Date],Sheet1!$A592,Table1[Sentiment V1],Sheet1!B$1)</f>
      </c>
      <c r="C592" s="14">
        <f>COUNTIFS(Table1[Date],Sheet1!$A592,Table1[Sentiment V1],Sheet1!C$1)</f>
      </c>
      <c r="D592" s="14">
        <f>COUNTIFS(Table1[Date],Sheet1!$A592,Table1[Sentiment V1],Sheet1!D$1)</f>
      </c>
      <c r="E592" s="16">
        <f>SUMIFS(Sheet2!B:B,Sheet2!A:A,Sheet1!A592)</f>
      </c>
      <c r="F592" s="14">
        <f>B592-C592</f>
      </c>
      <c r="G592" s="12"/>
      <c r="H592" s="13"/>
    </row>
    <row x14ac:dyDescent="0.25" r="593" customHeight="1" ht="18.75">
      <c r="A593" s="9">
        <v>44224</v>
      </c>
      <c r="B593" s="14">
        <f>COUNTIFS(Table1[Date],Sheet1!$A593,Table1[Sentiment V1],Sheet1!B$1)</f>
      </c>
      <c r="C593" s="14">
        <f>COUNTIFS(Table1[Date],Sheet1!$A593,Table1[Sentiment V1],Sheet1!C$1)</f>
      </c>
      <c r="D593" s="14">
        <f>COUNTIFS(Table1[Date],Sheet1!$A593,Table1[Sentiment V1],Sheet1!D$1)</f>
      </c>
      <c r="E593" s="16">
        <f>SUMIFS(Sheet2!B:B,Sheet2!A:A,Sheet1!A593)</f>
      </c>
      <c r="F593" s="14">
        <f>B593-C593</f>
      </c>
      <c r="G593" s="12"/>
      <c r="H593" s="13"/>
    </row>
    <row x14ac:dyDescent="0.25" r="594" customHeight="1" ht="18.75">
      <c r="A594" s="9">
        <v>44201</v>
      </c>
      <c r="B594" s="14">
        <f>COUNTIFS(Table1[Date],Sheet1!$A594,Table1[Sentiment V1],Sheet1!B$1)</f>
      </c>
      <c r="C594" s="14">
        <f>COUNTIFS(Table1[Date],Sheet1!$A594,Table1[Sentiment V1],Sheet1!C$1)</f>
      </c>
      <c r="D594" s="14">
        <f>COUNTIFS(Table1[Date],Sheet1!$A594,Table1[Sentiment V1],Sheet1!D$1)</f>
      </c>
      <c r="E594" s="16">
        <f>SUMIFS(Sheet2!B:B,Sheet2!A:A,Sheet1!A594)</f>
      </c>
      <c r="F594" s="14">
        <f>B594-C594</f>
      </c>
      <c r="G594" s="12"/>
      <c r="H594" s="13"/>
    </row>
    <row x14ac:dyDescent="0.25" r="595" customHeight="1" ht="18.75">
      <c r="A595" s="9">
        <v>44187</v>
      </c>
      <c r="B595" s="14">
        <f>COUNTIFS(Table1[Date],Sheet1!$A595,Table1[Sentiment V1],Sheet1!B$1)</f>
      </c>
      <c r="C595" s="14">
        <f>COUNTIFS(Table1[Date],Sheet1!$A595,Table1[Sentiment V1],Sheet1!C$1)</f>
      </c>
      <c r="D595" s="14">
        <f>COUNTIFS(Table1[Date],Sheet1!$A595,Table1[Sentiment V1],Sheet1!D$1)</f>
      </c>
      <c r="E595" s="16">
        <f>SUMIFS(Sheet2!B:B,Sheet2!A:A,Sheet1!A595)</f>
      </c>
      <c r="F595" s="14">
        <f>B595-C595</f>
      </c>
      <c r="G595" s="12"/>
      <c r="H595" s="13"/>
    </row>
    <row x14ac:dyDescent="0.25" r="596" customHeight="1" ht="18.75">
      <c r="A596" s="9">
        <v>44168</v>
      </c>
      <c r="B596" s="14">
        <f>COUNTIFS(Table1[Date],Sheet1!$A596,Table1[Sentiment V1],Sheet1!B$1)</f>
      </c>
      <c r="C596" s="14">
        <f>COUNTIFS(Table1[Date],Sheet1!$A596,Table1[Sentiment V1],Sheet1!C$1)</f>
      </c>
      <c r="D596" s="14">
        <f>COUNTIFS(Table1[Date],Sheet1!$A596,Table1[Sentiment V1],Sheet1!D$1)</f>
      </c>
      <c r="E596" s="16">
        <f>SUMIFS(Sheet2!B:B,Sheet2!A:A,Sheet1!A596)</f>
      </c>
      <c r="F596" s="14">
        <f>B596-C596</f>
      </c>
      <c r="G596" s="12"/>
      <c r="H596" s="13"/>
    </row>
    <row x14ac:dyDescent="0.25" r="597" customHeight="1" ht="18.75">
      <c r="A597" s="9">
        <v>44159</v>
      </c>
      <c r="B597" s="14">
        <f>COUNTIFS(Table1[Date],Sheet1!$A597,Table1[Sentiment V1],Sheet1!B$1)</f>
      </c>
      <c r="C597" s="14">
        <f>COUNTIFS(Table1[Date],Sheet1!$A597,Table1[Sentiment V1],Sheet1!C$1)</f>
      </c>
      <c r="D597" s="14">
        <f>COUNTIFS(Table1[Date],Sheet1!$A597,Table1[Sentiment V1],Sheet1!D$1)</f>
      </c>
      <c r="E597" s="16">
        <f>SUMIFS(Sheet2!B:B,Sheet2!A:A,Sheet1!A597)</f>
      </c>
      <c r="F597" s="14">
        <f>B597-C597</f>
      </c>
      <c r="G597" s="12"/>
      <c r="H597" s="13"/>
    </row>
    <row x14ac:dyDescent="0.25" r="598" customHeight="1" ht="18.75">
      <c r="A598" s="9">
        <v>44131</v>
      </c>
      <c r="B598" s="14">
        <f>COUNTIFS(Table1[Date],Sheet1!$A598,Table1[Sentiment V1],Sheet1!B$1)</f>
      </c>
      <c r="C598" s="14">
        <f>COUNTIFS(Table1[Date],Sheet1!$A598,Table1[Sentiment V1],Sheet1!C$1)</f>
      </c>
      <c r="D598" s="14">
        <f>COUNTIFS(Table1[Date],Sheet1!$A598,Table1[Sentiment V1],Sheet1!D$1)</f>
      </c>
      <c r="E598" s="16">
        <f>SUMIFS(Sheet2!B:B,Sheet2!A:A,Sheet1!A598)</f>
      </c>
      <c r="F598" s="14">
        <f>B598-C598</f>
      </c>
      <c r="G598" s="12"/>
      <c r="H598" s="13"/>
    </row>
    <row x14ac:dyDescent="0.25" r="599" customHeight="1" ht="18.75">
      <c r="A599" s="9">
        <v>44126</v>
      </c>
      <c r="B599" s="14">
        <f>COUNTIFS(Table1[Date],Sheet1!$A599,Table1[Sentiment V1],Sheet1!B$1)</f>
      </c>
      <c r="C599" s="14">
        <f>COUNTIFS(Table1[Date],Sheet1!$A599,Table1[Sentiment V1],Sheet1!C$1)</f>
      </c>
      <c r="D599" s="14">
        <f>COUNTIFS(Table1[Date],Sheet1!$A599,Table1[Sentiment V1],Sheet1!D$1)</f>
      </c>
      <c r="E599" s="16">
        <f>SUMIFS(Sheet2!B:B,Sheet2!A:A,Sheet1!A599)</f>
      </c>
      <c r="F599" s="14">
        <f>B599-C599</f>
      </c>
      <c r="G599" s="12"/>
      <c r="H599" s="13"/>
    </row>
    <row x14ac:dyDescent="0.25" r="600" customHeight="1" ht="18.75">
      <c r="A600" s="9">
        <v>44124</v>
      </c>
      <c r="B600" s="14">
        <f>COUNTIFS(Table1[Date],Sheet1!$A600,Table1[Sentiment V1],Sheet1!B$1)</f>
      </c>
      <c r="C600" s="14">
        <f>COUNTIFS(Table1[Date],Sheet1!$A600,Table1[Sentiment V1],Sheet1!C$1)</f>
      </c>
      <c r="D600" s="14">
        <f>COUNTIFS(Table1[Date],Sheet1!$A600,Table1[Sentiment V1],Sheet1!D$1)</f>
      </c>
      <c r="E600" s="16">
        <f>SUMIFS(Sheet2!B:B,Sheet2!A:A,Sheet1!A600)</f>
      </c>
      <c r="F600" s="14">
        <f>B600-C600</f>
      </c>
      <c r="G600" s="12"/>
      <c r="H600" s="13"/>
    </row>
    <row x14ac:dyDescent="0.25" r="601" customHeight="1" ht="18.75" hidden="1">
      <c r="A601" s="9">
        <v>44115</v>
      </c>
      <c r="B601" s="14">
        <f>COUNTIFS(Table1[Date],Sheet1!$A601,Table1[Sentiment V1],Sheet1!B$1)</f>
      </c>
      <c r="C601" s="14">
        <f>COUNTIFS(Table1[Date],Sheet1!$A601,Table1[Sentiment V1],Sheet1!C$1)</f>
      </c>
      <c r="D601" s="14">
        <f>COUNTIFS(Table1[Date],Sheet1!$A601,Table1[Sentiment V1],Sheet1!D$1)</f>
      </c>
      <c r="E601" s="15">
        <f>SUMIFS(Sheet2!B:B,Sheet2!A:A,Sheet1!A601)</f>
      </c>
      <c r="F601" s="14">
        <f>B601-C601</f>
      </c>
      <c r="G601" s="12"/>
      <c r="H601" s="13"/>
    </row>
    <row x14ac:dyDescent="0.25" r="602" customHeight="1" ht="18.75">
      <c r="A602" s="9">
        <v>44092</v>
      </c>
      <c r="B602" s="14">
        <f>COUNTIFS(Table1[Date],Sheet1!$A602,Table1[Sentiment V1],Sheet1!B$1)</f>
      </c>
      <c r="C602" s="14">
        <f>COUNTIFS(Table1[Date],Sheet1!$A602,Table1[Sentiment V1],Sheet1!C$1)</f>
      </c>
      <c r="D602" s="14">
        <f>COUNTIFS(Table1[Date],Sheet1!$A602,Table1[Sentiment V1],Sheet1!D$1)</f>
      </c>
      <c r="E602" s="16">
        <f>SUMIFS(Sheet2!B:B,Sheet2!A:A,Sheet1!A602)</f>
      </c>
      <c r="F602" s="14">
        <f>B602-C602</f>
      </c>
      <c r="G602" s="12"/>
      <c r="H602" s="13"/>
    </row>
    <row x14ac:dyDescent="0.25" r="603" customHeight="1" ht="18.75">
      <c r="A603" s="9">
        <v>44077</v>
      </c>
      <c r="B603" s="14">
        <f>COUNTIFS(Table1[Date],Sheet1!$A603,Table1[Sentiment V1],Sheet1!B$1)</f>
      </c>
      <c r="C603" s="14">
        <f>COUNTIFS(Table1[Date],Sheet1!$A603,Table1[Sentiment V1],Sheet1!C$1)</f>
      </c>
      <c r="D603" s="14">
        <f>COUNTIFS(Table1[Date],Sheet1!$A603,Table1[Sentiment V1],Sheet1!D$1)</f>
      </c>
      <c r="E603" s="16">
        <f>SUMIFS(Sheet2!B:B,Sheet2!A:A,Sheet1!A603)</f>
      </c>
      <c r="F603" s="14">
        <f>B603-C603</f>
      </c>
      <c r="G603" s="12"/>
      <c r="H603" s="13"/>
    </row>
    <row x14ac:dyDescent="0.25" r="604" customHeight="1" ht="18.75">
      <c r="A604" s="9">
        <v>44063</v>
      </c>
      <c r="B604" s="14">
        <f>COUNTIFS(Table1[Date],Sheet1!$A604,Table1[Sentiment V1],Sheet1!B$1)</f>
      </c>
      <c r="C604" s="14">
        <f>COUNTIFS(Table1[Date],Sheet1!$A604,Table1[Sentiment V1],Sheet1!C$1)</f>
      </c>
      <c r="D604" s="14">
        <f>COUNTIFS(Table1[Date],Sheet1!$A604,Table1[Sentiment V1],Sheet1!D$1)</f>
      </c>
      <c r="E604" s="16">
        <f>SUMIFS(Sheet2!B:B,Sheet2!A:A,Sheet1!A604)</f>
      </c>
      <c r="F604" s="14">
        <f>B604-C604</f>
      </c>
      <c r="G604" s="12"/>
      <c r="H604" s="13"/>
    </row>
    <row x14ac:dyDescent="0.25" r="605" customHeight="1" ht="18.75">
      <c r="A605" s="9">
        <v>44053</v>
      </c>
      <c r="B605" s="14">
        <f>COUNTIFS(Table1[Date],Sheet1!$A605,Table1[Sentiment V1],Sheet1!B$1)</f>
      </c>
      <c r="C605" s="14">
        <f>COUNTIFS(Table1[Date],Sheet1!$A605,Table1[Sentiment V1],Sheet1!C$1)</f>
      </c>
      <c r="D605" s="14">
        <f>COUNTIFS(Table1[Date],Sheet1!$A605,Table1[Sentiment V1],Sheet1!D$1)</f>
      </c>
      <c r="E605" s="16">
        <f>SUMIFS(Sheet2!B:B,Sheet2!A:A,Sheet1!A605)</f>
      </c>
      <c r="F605" s="14">
        <f>B605-C605</f>
      </c>
      <c r="G605" s="12"/>
      <c r="H605" s="13"/>
    </row>
    <row x14ac:dyDescent="0.25" r="606" customHeight="1" ht="18.75" hidden="1">
      <c r="A606" s="9">
        <v>44051</v>
      </c>
      <c r="B606" s="14">
        <f>COUNTIFS(Table1[Date],Sheet1!$A606,Table1[Sentiment V1],Sheet1!B$1)</f>
      </c>
      <c r="C606" s="14">
        <f>COUNTIFS(Table1[Date],Sheet1!$A606,Table1[Sentiment V1],Sheet1!C$1)</f>
      </c>
      <c r="D606" s="14">
        <f>COUNTIFS(Table1[Date],Sheet1!$A606,Table1[Sentiment V1],Sheet1!D$1)</f>
      </c>
      <c r="E606" s="15">
        <f>SUMIFS(Sheet2!B:B,Sheet2!A:A,Sheet1!A606)</f>
      </c>
      <c r="F606" s="14">
        <f>B606-C606</f>
      </c>
      <c r="G606" s="12"/>
      <c r="H606" s="13"/>
    </row>
    <row x14ac:dyDescent="0.25" r="607" customHeight="1" ht="18.75">
      <c r="A607" s="9">
        <v>44050</v>
      </c>
      <c r="B607" s="14">
        <f>COUNTIFS(Table1[Date],Sheet1!$A607,Table1[Sentiment V1],Sheet1!B$1)</f>
      </c>
      <c r="C607" s="14">
        <f>COUNTIFS(Table1[Date],Sheet1!$A607,Table1[Sentiment V1],Sheet1!C$1)</f>
      </c>
      <c r="D607" s="14">
        <f>COUNTIFS(Table1[Date],Sheet1!$A607,Table1[Sentiment V1],Sheet1!D$1)</f>
      </c>
      <c r="E607" s="16">
        <f>SUMIFS(Sheet2!B:B,Sheet2!A:A,Sheet1!A607)</f>
      </c>
      <c r="F607" s="14">
        <f>B607-C607</f>
      </c>
      <c r="G607" s="12"/>
      <c r="H607" s="13"/>
    </row>
    <row x14ac:dyDescent="0.25" r="608" customHeight="1" ht="18.75">
      <c r="A608" s="9">
        <v>44043</v>
      </c>
      <c r="B608" s="14">
        <f>COUNTIFS(Table1[Date],Sheet1!$A608,Table1[Sentiment V1],Sheet1!B$1)</f>
      </c>
      <c r="C608" s="14">
        <f>COUNTIFS(Table1[Date],Sheet1!$A608,Table1[Sentiment V1],Sheet1!C$1)</f>
      </c>
      <c r="D608" s="14">
        <f>COUNTIFS(Table1[Date],Sheet1!$A608,Table1[Sentiment V1],Sheet1!D$1)</f>
      </c>
      <c r="E608" s="16">
        <f>SUMIFS(Sheet2!B:B,Sheet2!A:A,Sheet1!A608)</f>
      </c>
      <c r="F608" s="14">
        <f>B608-C608</f>
      </c>
      <c r="G608" s="12"/>
      <c r="H608" s="13"/>
    </row>
    <row x14ac:dyDescent="0.25" r="609" customHeight="1" ht="18.75">
      <c r="A609" s="9">
        <v>44034</v>
      </c>
      <c r="B609" s="14">
        <f>COUNTIFS(Table1[Date],Sheet1!$A609,Table1[Sentiment V1],Sheet1!B$1)</f>
      </c>
      <c r="C609" s="14">
        <f>COUNTIFS(Table1[Date],Sheet1!$A609,Table1[Sentiment V1],Sheet1!C$1)</f>
      </c>
      <c r="D609" s="14">
        <f>COUNTIFS(Table1[Date],Sheet1!$A609,Table1[Sentiment V1],Sheet1!D$1)</f>
      </c>
      <c r="E609" s="16">
        <f>SUMIFS(Sheet2!B:B,Sheet2!A:A,Sheet1!A609)</f>
      </c>
      <c r="F609" s="14">
        <f>B609-C609</f>
      </c>
      <c r="G609" s="12"/>
      <c r="H609" s="13"/>
    </row>
    <row x14ac:dyDescent="0.25" r="610" customHeight="1" ht="18.75">
      <c r="A610" s="9">
        <v>44029</v>
      </c>
      <c r="B610" s="14">
        <f>COUNTIFS(Table1[Date],Sheet1!$A610,Table1[Sentiment V1],Sheet1!B$1)</f>
      </c>
      <c r="C610" s="14">
        <f>COUNTIFS(Table1[Date],Sheet1!$A610,Table1[Sentiment V1],Sheet1!C$1)</f>
      </c>
      <c r="D610" s="14">
        <f>COUNTIFS(Table1[Date],Sheet1!$A610,Table1[Sentiment V1],Sheet1!D$1)</f>
      </c>
      <c r="E610" s="16">
        <f>SUMIFS(Sheet2!B:B,Sheet2!A:A,Sheet1!A610)</f>
      </c>
      <c r="F610" s="14">
        <f>B610-C610</f>
      </c>
      <c r="G610" s="12"/>
      <c r="H610" s="13"/>
    </row>
    <row x14ac:dyDescent="0.25" r="611" customHeight="1" ht="18.75">
      <c r="A611" s="9">
        <v>44026</v>
      </c>
      <c r="B611" s="14">
        <f>COUNTIFS(Table1[Date],Sheet1!$A611,Table1[Sentiment V1],Sheet1!B$1)</f>
      </c>
      <c r="C611" s="14">
        <f>COUNTIFS(Table1[Date],Sheet1!$A611,Table1[Sentiment V1],Sheet1!C$1)</f>
      </c>
      <c r="D611" s="14">
        <f>COUNTIFS(Table1[Date],Sheet1!$A611,Table1[Sentiment V1],Sheet1!D$1)</f>
      </c>
      <c r="E611" s="16">
        <f>SUMIFS(Sheet2!B:B,Sheet2!A:A,Sheet1!A611)</f>
      </c>
      <c r="F611" s="14">
        <f>B611-C611</f>
      </c>
      <c r="G611" s="12"/>
      <c r="H611" s="13"/>
    </row>
    <row x14ac:dyDescent="0.25" r="612" customHeight="1" ht="18.75">
      <c r="A612" s="9">
        <v>44020</v>
      </c>
      <c r="B612" s="14">
        <f>COUNTIFS(Table1[Date],Sheet1!$A612,Table1[Sentiment V1],Sheet1!B$1)</f>
      </c>
      <c r="C612" s="14">
        <f>COUNTIFS(Table1[Date],Sheet1!$A612,Table1[Sentiment V1],Sheet1!C$1)</f>
      </c>
      <c r="D612" s="14">
        <f>COUNTIFS(Table1[Date],Sheet1!$A612,Table1[Sentiment V1],Sheet1!D$1)</f>
      </c>
      <c r="E612" s="16">
        <f>SUMIFS(Sheet2!B:B,Sheet2!A:A,Sheet1!A612)</f>
      </c>
      <c r="F612" s="14">
        <f>B612-C612</f>
      </c>
      <c r="G612" s="12"/>
      <c r="H612" s="13"/>
    </row>
    <row x14ac:dyDescent="0.25" r="613" customHeight="1" ht="18.75">
      <c r="A613" s="9">
        <v>44011</v>
      </c>
      <c r="B613" s="14">
        <f>COUNTIFS(Table1[Date],Sheet1!$A613,Table1[Sentiment V1],Sheet1!B$1)</f>
      </c>
      <c r="C613" s="14">
        <f>COUNTIFS(Table1[Date],Sheet1!$A613,Table1[Sentiment V1],Sheet1!C$1)</f>
      </c>
      <c r="D613" s="14">
        <f>COUNTIFS(Table1[Date],Sheet1!$A613,Table1[Sentiment V1],Sheet1!D$1)</f>
      </c>
      <c r="E613" s="16">
        <f>SUMIFS(Sheet2!B:B,Sheet2!A:A,Sheet1!A613)</f>
      </c>
      <c r="F613" s="14">
        <f>B613-C613</f>
      </c>
      <c r="G613" s="12"/>
      <c r="H613" s="13"/>
    </row>
    <row x14ac:dyDescent="0.25" r="614" customHeight="1" ht="18.75">
      <c r="A614" s="9">
        <v>43998</v>
      </c>
      <c r="B614" s="14">
        <f>COUNTIFS(Table1[Date],Sheet1!$A614,Table1[Sentiment V1],Sheet1!B$1)</f>
      </c>
      <c r="C614" s="14">
        <f>COUNTIFS(Table1[Date],Sheet1!$A614,Table1[Sentiment V1],Sheet1!C$1)</f>
      </c>
      <c r="D614" s="14">
        <f>COUNTIFS(Table1[Date],Sheet1!$A614,Table1[Sentiment V1],Sheet1!D$1)</f>
      </c>
      <c r="E614" s="16">
        <f>SUMIFS(Sheet2!B:B,Sheet2!A:A,Sheet1!A614)</f>
      </c>
      <c r="F614" s="14">
        <f>B614-C614</f>
      </c>
      <c r="G614" s="12"/>
      <c r="H614" s="13"/>
    </row>
    <row x14ac:dyDescent="0.25" r="615" customHeight="1" ht="18.75">
      <c r="A615" s="9">
        <v>43986</v>
      </c>
      <c r="B615" s="14">
        <f>COUNTIFS(Table1[Date],Sheet1!$A615,Table1[Sentiment V1],Sheet1!B$1)</f>
      </c>
      <c r="C615" s="14">
        <f>COUNTIFS(Table1[Date],Sheet1!$A615,Table1[Sentiment V1],Sheet1!C$1)</f>
      </c>
      <c r="D615" s="14">
        <f>COUNTIFS(Table1[Date],Sheet1!$A615,Table1[Sentiment V1],Sheet1!D$1)</f>
      </c>
      <c r="E615" s="16">
        <f>SUMIFS(Sheet2!B:B,Sheet2!A:A,Sheet1!A615)</f>
      </c>
      <c r="F615" s="14">
        <f>B615-C615</f>
      </c>
      <c r="G615" s="12"/>
      <c r="H615" s="13"/>
    </row>
    <row x14ac:dyDescent="0.25" r="616" customHeight="1" ht="18.75">
      <c r="A616" s="9">
        <v>43984</v>
      </c>
      <c r="B616" s="14">
        <f>COUNTIFS(Table1[Date],Sheet1!$A616,Table1[Sentiment V1],Sheet1!B$1)</f>
      </c>
      <c r="C616" s="14">
        <f>COUNTIFS(Table1[Date],Sheet1!$A616,Table1[Sentiment V1],Sheet1!C$1)</f>
      </c>
      <c r="D616" s="14">
        <f>COUNTIFS(Table1[Date],Sheet1!$A616,Table1[Sentiment V1],Sheet1!D$1)</f>
      </c>
      <c r="E616" s="16">
        <f>SUMIFS(Sheet2!B:B,Sheet2!A:A,Sheet1!A616)</f>
      </c>
      <c r="F616" s="14">
        <f>B616-C616</f>
      </c>
      <c r="G616" s="12"/>
      <c r="H616" s="13"/>
    </row>
    <row x14ac:dyDescent="0.25" r="617" customHeight="1" ht="18.75">
      <c r="A617" s="9">
        <v>43983</v>
      </c>
      <c r="B617" s="14">
        <f>COUNTIFS(Table1[Date],Sheet1!$A617,Table1[Sentiment V1],Sheet1!B$1)</f>
      </c>
      <c r="C617" s="14">
        <f>COUNTIFS(Table1[Date],Sheet1!$A617,Table1[Sentiment V1],Sheet1!C$1)</f>
      </c>
      <c r="D617" s="14">
        <f>COUNTIFS(Table1[Date],Sheet1!$A617,Table1[Sentiment V1],Sheet1!D$1)</f>
      </c>
      <c r="E617" s="16">
        <f>SUMIFS(Sheet2!B:B,Sheet2!A:A,Sheet1!A617)</f>
      </c>
      <c r="F617" s="14">
        <f>B617-C617</f>
      </c>
      <c r="G617" s="12"/>
      <c r="H617" s="13"/>
    </row>
    <row x14ac:dyDescent="0.25" r="618" customHeight="1" ht="18.75">
      <c r="A618" s="9">
        <v>43973</v>
      </c>
      <c r="B618" s="14">
        <f>COUNTIFS(Table1[Date],Sheet1!$A618,Table1[Sentiment V1],Sheet1!B$1)</f>
      </c>
      <c r="C618" s="14">
        <f>COUNTIFS(Table1[Date],Sheet1!$A618,Table1[Sentiment V1],Sheet1!C$1)</f>
      </c>
      <c r="D618" s="14">
        <f>COUNTIFS(Table1[Date],Sheet1!$A618,Table1[Sentiment V1],Sheet1!D$1)</f>
      </c>
      <c r="E618" s="16">
        <f>SUMIFS(Sheet2!B:B,Sheet2!A:A,Sheet1!A618)</f>
      </c>
      <c r="F618" s="14">
        <f>B618-C618</f>
      </c>
      <c r="G618" s="12"/>
      <c r="H618" s="13"/>
    </row>
    <row x14ac:dyDescent="0.25" r="619" customHeight="1" ht="18.75">
      <c r="A619" s="9">
        <v>43966</v>
      </c>
      <c r="B619" s="14">
        <f>COUNTIFS(Table1[Date],Sheet1!$A619,Table1[Sentiment V1],Sheet1!B$1)</f>
      </c>
      <c r="C619" s="14">
        <f>COUNTIFS(Table1[Date],Sheet1!$A619,Table1[Sentiment V1],Sheet1!C$1)</f>
      </c>
      <c r="D619" s="14">
        <f>COUNTIFS(Table1[Date],Sheet1!$A619,Table1[Sentiment V1],Sheet1!D$1)</f>
      </c>
      <c r="E619" s="16">
        <f>SUMIFS(Sheet2!B:B,Sheet2!A:A,Sheet1!A619)</f>
      </c>
      <c r="F619" s="14">
        <f>B619-C619</f>
      </c>
      <c r="G619" s="12"/>
      <c r="H619" s="13"/>
    </row>
    <row x14ac:dyDescent="0.25" r="620" customHeight="1" ht="18.75">
      <c r="A620" s="9">
        <v>43962</v>
      </c>
      <c r="B620" s="14">
        <f>COUNTIFS(Table1[Date],Sheet1!$A620,Table1[Sentiment V1],Sheet1!B$1)</f>
      </c>
      <c r="C620" s="14">
        <f>COUNTIFS(Table1[Date],Sheet1!$A620,Table1[Sentiment V1],Sheet1!C$1)</f>
      </c>
      <c r="D620" s="14">
        <f>COUNTIFS(Table1[Date],Sheet1!$A620,Table1[Sentiment V1],Sheet1!D$1)</f>
      </c>
      <c r="E620" s="16">
        <f>SUMIFS(Sheet2!B:B,Sheet2!A:A,Sheet1!A620)</f>
      </c>
      <c r="F620" s="14">
        <f>B620-C620</f>
      </c>
      <c r="G620" s="12"/>
      <c r="H620" s="13"/>
    </row>
    <row x14ac:dyDescent="0.25" r="621" customHeight="1" ht="18.75" hidden="1">
      <c r="A621" s="9">
        <v>43953</v>
      </c>
      <c r="B621" s="14">
        <f>COUNTIFS(Table1[Date],Sheet1!$A621,Table1[Sentiment V1],Sheet1!B$1)</f>
      </c>
      <c r="C621" s="14">
        <f>COUNTIFS(Table1[Date],Sheet1!$A621,Table1[Sentiment V1],Sheet1!C$1)</f>
      </c>
      <c r="D621" s="14">
        <f>COUNTIFS(Table1[Date],Sheet1!$A621,Table1[Sentiment V1],Sheet1!D$1)</f>
      </c>
      <c r="E621" s="15">
        <f>SUMIFS(Sheet2!B:B,Sheet2!A:A,Sheet1!A621)</f>
      </c>
      <c r="F621" s="14">
        <f>B621-C621</f>
      </c>
      <c r="G621" s="12"/>
      <c r="H621" s="13"/>
    </row>
    <row x14ac:dyDescent="0.25" r="622" customHeight="1" ht="18.75">
      <c r="A622" s="9">
        <v>43949</v>
      </c>
      <c r="B622" s="14">
        <f>COUNTIFS(Table1[Date],Sheet1!$A622,Table1[Sentiment V1],Sheet1!B$1)</f>
      </c>
      <c r="C622" s="14">
        <f>COUNTIFS(Table1[Date],Sheet1!$A622,Table1[Sentiment V1],Sheet1!C$1)</f>
      </c>
      <c r="D622" s="14">
        <f>COUNTIFS(Table1[Date],Sheet1!$A622,Table1[Sentiment V1],Sheet1!D$1)</f>
      </c>
      <c r="E622" s="16">
        <f>SUMIFS(Sheet2!B:B,Sheet2!A:A,Sheet1!A622)</f>
      </c>
      <c r="F622" s="14">
        <f>B622-C622</f>
      </c>
      <c r="G622" s="12"/>
      <c r="H622" s="13"/>
    </row>
    <row x14ac:dyDescent="0.25" r="623" customHeight="1" ht="18.75">
      <c r="A623" s="9">
        <v>43948</v>
      </c>
      <c r="B623" s="14">
        <f>COUNTIFS(Table1[Date],Sheet1!$A623,Table1[Sentiment V1],Sheet1!B$1)</f>
      </c>
      <c r="C623" s="14">
        <f>COUNTIFS(Table1[Date],Sheet1!$A623,Table1[Sentiment V1],Sheet1!C$1)</f>
      </c>
      <c r="D623" s="14">
        <f>COUNTIFS(Table1[Date],Sheet1!$A623,Table1[Sentiment V1],Sheet1!D$1)</f>
      </c>
      <c r="E623" s="16">
        <f>SUMIFS(Sheet2!B:B,Sheet2!A:A,Sheet1!A623)</f>
      </c>
      <c r="F623" s="14">
        <f>B623-C623</f>
      </c>
      <c r="G623" s="12"/>
      <c r="H623" s="13"/>
    </row>
    <row x14ac:dyDescent="0.25" r="624" customHeight="1" ht="18.75" hidden="1">
      <c r="A624" s="9">
        <v>43947</v>
      </c>
      <c r="B624" s="14">
        <f>COUNTIFS(Table1[Date],Sheet1!$A624,Table1[Sentiment V1],Sheet1!B$1)</f>
      </c>
      <c r="C624" s="14">
        <f>COUNTIFS(Table1[Date],Sheet1!$A624,Table1[Sentiment V1],Sheet1!C$1)</f>
      </c>
      <c r="D624" s="14">
        <f>COUNTIFS(Table1[Date],Sheet1!$A624,Table1[Sentiment V1],Sheet1!D$1)</f>
      </c>
      <c r="E624" s="15">
        <f>SUMIFS(Sheet2!B:B,Sheet2!A:A,Sheet1!A624)</f>
      </c>
      <c r="F624" s="14">
        <f>B624-C624</f>
      </c>
      <c r="G624" s="12"/>
      <c r="H624" s="13"/>
    </row>
    <row x14ac:dyDescent="0.25" r="625" customHeight="1" ht="18.75" hidden="1">
      <c r="A625" s="9">
        <v>43946</v>
      </c>
      <c r="B625" s="14">
        <f>COUNTIFS(Table1[Date],Sheet1!$A625,Table1[Sentiment V1],Sheet1!B$1)</f>
      </c>
      <c r="C625" s="14">
        <f>COUNTIFS(Table1[Date],Sheet1!$A625,Table1[Sentiment V1],Sheet1!C$1)</f>
      </c>
      <c r="D625" s="14">
        <f>COUNTIFS(Table1[Date],Sheet1!$A625,Table1[Sentiment V1],Sheet1!D$1)</f>
      </c>
      <c r="E625" s="15">
        <f>SUMIFS(Sheet2!B:B,Sheet2!A:A,Sheet1!A625)</f>
      </c>
      <c r="F625" s="14">
        <f>B625-C625</f>
      </c>
      <c r="G625" s="12"/>
      <c r="H625" s="13"/>
    </row>
    <row x14ac:dyDescent="0.25" r="626" customHeight="1" ht="18.75">
      <c r="A626" s="9">
        <v>43943</v>
      </c>
      <c r="B626" s="14">
        <f>COUNTIFS(Table1[Date],Sheet1!$A626,Table1[Sentiment V1],Sheet1!B$1)</f>
      </c>
      <c r="C626" s="14">
        <f>COUNTIFS(Table1[Date],Sheet1!$A626,Table1[Sentiment V1],Sheet1!C$1)</f>
      </c>
      <c r="D626" s="14">
        <f>COUNTIFS(Table1[Date],Sheet1!$A626,Table1[Sentiment V1],Sheet1!D$1)</f>
      </c>
      <c r="E626" s="16">
        <f>SUMIFS(Sheet2!B:B,Sheet2!A:A,Sheet1!A626)</f>
      </c>
      <c r="F626" s="14">
        <f>B626-C626</f>
      </c>
      <c r="G626" s="12"/>
      <c r="H626" s="13"/>
    </row>
    <row x14ac:dyDescent="0.25" r="627" customHeight="1" ht="18.75">
      <c r="A627" s="9">
        <v>43942</v>
      </c>
      <c r="B627" s="14">
        <f>COUNTIFS(Table1[Date],Sheet1!$A627,Table1[Sentiment V1],Sheet1!B$1)</f>
      </c>
      <c r="C627" s="14">
        <f>COUNTIFS(Table1[Date],Sheet1!$A627,Table1[Sentiment V1],Sheet1!C$1)</f>
      </c>
      <c r="D627" s="14">
        <f>COUNTIFS(Table1[Date],Sheet1!$A627,Table1[Sentiment V1],Sheet1!D$1)</f>
      </c>
      <c r="E627" s="16">
        <f>SUMIFS(Sheet2!B:B,Sheet2!A:A,Sheet1!A627)</f>
      </c>
      <c r="F627" s="14">
        <f>B627-C627</f>
      </c>
      <c r="G627" s="12"/>
      <c r="H627" s="13"/>
    </row>
    <row x14ac:dyDescent="0.25" r="628" customHeight="1" ht="18.75">
      <c r="A628" s="9">
        <v>43941</v>
      </c>
      <c r="B628" s="14">
        <f>COUNTIFS(Table1[Date],Sheet1!$A628,Table1[Sentiment V1],Sheet1!B$1)</f>
      </c>
      <c r="C628" s="14">
        <f>COUNTIFS(Table1[Date],Sheet1!$A628,Table1[Sentiment V1],Sheet1!C$1)</f>
      </c>
      <c r="D628" s="14">
        <f>COUNTIFS(Table1[Date],Sheet1!$A628,Table1[Sentiment V1],Sheet1!D$1)</f>
      </c>
      <c r="E628" s="16">
        <f>SUMIFS(Sheet2!B:B,Sheet2!A:A,Sheet1!A628)</f>
      </c>
      <c r="F628" s="14">
        <f>B628-C628</f>
      </c>
      <c r="G628" s="12"/>
      <c r="H628" s="13"/>
    </row>
    <row x14ac:dyDescent="0.25" r="629" customHeight="1" ht="18.75" hidden="1">
      <c r="A629" s="9">
        <v>43940</v>
      </c>
      <c r="B629" s="14">
        <f>COUNTIFS(Table1[Date],Sheet1!$A629,Table1[Sentiment V1],Sheet1!B$1)</f>
      </c>
      <c r="C629" s="14">
        <f>COUNTIFS(Table1[Date],Sheet1!$A629,Table1[Sentiment V1],Sheet1!C$1)</f>
      </c>
      <c r="D629" s="14">
        <f>COUNTIFS(Table1[Date],Sheet1!$A629,Table1[Sentiment V1],Sheet1!D$1)</f>
      </c>
      <c r="E629" s="15">
        <f>SUMIFS(Sheet2!B:B,Sheet2!A:A,Sheet1!A629)</f>
      </c>
      <c r="F629" s="14">
        <f>B629-C629</f>
      </c>
      <c r="G629" s="12"/>
      <c r="H629" s="13"/>
    </row>
    <row x14ac:dyDescent="0.25" r="630" customHeight="1" ht="18.75">
      <c r="A630" s="9">
        <v>43938</v>
      </c>
      <c r="B630" s="14">
        <f>COUNTIFS(Table1[Date],Sheet1!$A630,Table1[Sentiment V1],Sheet1!B$1)</f>
      </c>
      <c r="C630" s="14">
        <f>COUNTIFS(Table1[Date],Sheet1!$A630,Table1[Sentiment V1],Sheet1!C$1)</f>
      </c>
      <c r="D630" s="14">
        <f>COUNTIFS(Table1[Date],Sheet1!$A630,Table1[Sentiment V1],Sheet1!D$1)</f>
      </c>
      <c r="E630" s="16">
        <f>SUMIFS(Sheet2!B:B,Sheet2!A:A,Sheet1!A630)</f>
      </c>
      <c r="F630" s="14">
        <f>B630-C630</f>
      </c>
      <c r="G630" s="12"/>
      <c r="H630" s="13"/>
    </row>
    <row x14ac:dyDescent="0.25" r="631" customHeight="1" ht="18.75">
      <c r="A631" s="9">
        <v>43935</v>
      </c>
      <c r="B631" s="14">
        <f>COUNTIFS(Table1[Date],Sheet1!$A631,Table1[Sentiment V1],Sheet1!B$1)</f>
      </c>
      <c r="C631" s="14">
        <f>COUNTIFS(Table1[Date],Sheet1!$A631,Table1[Sentiment V1],Sheet1!C$1)</f>
      </c>
      <c r="D631" s="14">
        <f>COUNTIFS(Table1[Date],Sheet1!$A631,Table1[Sentiment V1],Sheet1!D$1)</f>
      </c>
      <c r="E631" s="16">
        <f>SUMIFS(Sheet2!B:B,Sheet2!A:A,Sheet1!A631)</f>
      </c>
      <c r="F631" s="14">
        <f>B631-C631</f>
      </c>
      <c r="G631" s="12"/>
      <c r="H631" s="13"/>
    </row>
    <row x14ac:dyDescent="0.25" r="632" customHeight="1" ht="18.75">
      <c r="A632" s="9">
        <v>43928</v>
      </c>
      <c r="B632" s="14">
        <f>COUNTIFS(Table1[Date],Sheet1!$A632,Table1[Sentiment V1],Sheet1!B$1)</f>
      </c>
      <c r="C632" s="14">
        <f>COUNTIFS(Table1[Date],Sheet1!$A632,Table1[Sentiment V1],Sheet1!C$1)</f>
      </c>
      <c r="D632" s="14">
        <f>COUNTIFS(Table1[Date],Sheet1!$A632,Table1[Sentiment V1],Sheet1!D$1)</f>
      </c>
      <c r="E632" s="16">
        <f>SUMIFS(Sheet2!B:B,Sheet2!A:A,Sheet1!A632)</f>
      </c>
      <c r="F632" s="14">
        <f>B632-C632</f>
      </c>
      <c r="G632" s="12"/>
      <c r="H632" s="13"/>
    </row>
    <row x14ac:dyDescent="0.25" r="633" customHeight="1" ht="18.75" hidden="1">
      <c r="A633" s="9">
        <v>43926</v>
      </c>
      <c r="B633" s="14">
        <f>COUNTIFS(Table1[Date],Sheet1!$A633,Table1[Sentiment V1],Sheet1!B$1)</f>
      </c>
      <c r="C633" s="14">
        <f>COUNTIFS(Table1[Date],Sheet1!$A633,Table1[Sentiment V1],Sheet1!C$1)</f>
      </c>
      <c r="D633" s="14">
        <f>COUNTIFS(Table1[Date],Sheet1!$A633,Table1[Sentiment V1],Sheet1!D$1)</f>
      </c>
      <c r="E633" s="15">
        <f>SUMIFS(Sheet2!B:B,Sheet2!A:A,Sheet1!A633)</f>
      </c>
      <c r="F633" s="14">
        <f>B633-C633</f>
      </c>
      <c r="G633" s="12"/>
      <c r="H633" s="13"/>
    </row>
    <row x14ac:dyDescent="0.25" r="634" customHeight="1" ht="18.75">
      <c r="A634" s="9">
        <v>43902</v>
      </c>
      <c r="B634" s="14">
        <f>COUNTIFS(Table1[Date],Sheet1!$A634,Table1[Sentiment V1],Sheet1!B$1)</f>
      </c>
      <c r="C634" s="14">
        <f>COUNTIFS(Table1[Date],Sheet1!$A634,Table1[Sentiment V1],Sheet1!C$1)</f>
      </c>
      <c r="D634" s="14">
        <f>COUNTIFS(Table1[Date],Sheet1!$A634,Table1[Sentiment V1],Sheet1!D$1)</f>
      </c>
      <c r="E634" s="16">
        <f>SUMIFS(Sheet2!B:B,Sheet2!A:A,Sheet1!A634)</f>
      </c>
      <c r="F634" s="14">
        <f>B634-C634</f>
      </c>
      <c r="G634" s="12"/>
      <c r="H634" s="13"/>
    </row>
    <row x14ac:dyDescent="0.25" r="635" customHeight="1" ht="18.75">
      <c r="A635" s="9">
        <v>43899</v>
      </c>
      <c r="B635" s="14">
        <f>COUNTIFS(Table1[Date],Sheet1!$A635,Table1[Sentiment V1],Sheet1!B$1)</f>
      </c>
      <c r="C635" s="14">
        <f>COUNTIFS(Table1[Date],Sheet1!$A635,Table1[Sentiment V1],Sheet1!C$1)</f>
      </c>
      <c r="D635" s="14">
        <f>COUNTIFS(Table1[Date],Sheet1!$A635,Table1[Sentiment V1],Sheet1!D$1)</f>
      </c>
      <c r="E635" s="16">
        <f>SUMIFS(Sheet2!B:B,Sheet2!A:A,Sheet1!A635)</f>
      </c>
      <c r="F635" s="14">
        <f>B635-C635</f>
      </c>
      <c r="G635" s="12"/>
      <c r="H635" s="13"/>
    </row>
    <row x14ac:dyDescent="0.25" r="636" customHeight="1" ht="18.75" hidden="1">
      <c r="A636" s="9">
        <v>43898</v>
      </c>
      <c r="B636" s="14">
        <f>COUNTIFS(Table1[Date],Sheet1!$A636,Table1[Sentiment V1],Sheet1!B$1)</f>
      </c>
      <c r="C636" s="14">
        <f>COUNTIFS(Table1[Date],Sheet1!$A636,Table1[Sentiment V1],Sheet1!C$1)</f>
      </c>
      <c r="D636" s="14">
        <f>COUNTIFS(Table1[Date],Sheet1!$A636,Table1[Sentiment V1],Sheet1!D$1)</f>
      </c>
      <c r="E636" s="15">
        <f>SUMIFS(Sheet2!B:B,Sheet2!A:A,Sheet1!A636)</f>
      </c>
      <c r="F636" s="14">
        <f>B636-C636</f>
      </c>
      <c r="G636" s="12"/>
      <c r="H636" s="13"/>
    </row>
    <row x14ac:dyDescent="0.25" r="637" customHeight="1" ht="18.75">
      <c r="A637" s="9">
        <v>43878</v>
      </c>
      <c r="B637" s="14">
        <f>COUNTIFS(Table1[Date],Sheet1!$A637,Table1[Sentiment V1],Sheet1!B$1)</f>
      </c>
      <c r="C637" s="14">
        <f>COUNTIFS(Table1[Date],Sheet1!$A637,Table1[Sentiment V1],Sheet1!C$1)</f>
      </c>
      <c r="D637" s="14">
        <f>COUNTIFS(Table1[Date],Sheet1!$A637,Table1[Sentiment V1],Sheet1!D$1)</f>
      </c>
      <c r="E637" s="16">
        <f>SUMIFS(Sheet2!B:B,Sheet2!A:A,Sheet1!A637)</f>
      </c>
      <c r="F637" s="14">
        <f>B637-C637</f>
      </c>
      <c r="G637" s="12"/>
      <c r="H637" s="13"/>
    </row>
    <row x14ac:dyDescent="0.25" r="638" customHeight="1" ht="18.75">
      <c r="A638" s="9">
        <v>43873</v>
      </c>
      <c r="B638" s="14">
        <f>COUNTIFS(Table1[Date],Sheet1!$A638,Table1[Sentiment V1],Sheet1!B$1)</f>
      </c>
      <c r="C638" s="14">
        <f>COUNTIFS(Table1[Date],Sheet1!$A638,Table1[Sentiment V1],Sheet1!C$1)</f>
      </c>
      <c r="D638" s="14">
        <f>COUNTIFS(Table1[Date],Sheet1!$A638,Table1[Sentiment V1],Sheet1!D$1)</f>
      </c>
      <c r="E638" s="16">
        <f>SUMIFS(Sheet2!B:B,Sheet2!A:A,Sheet1!A638)</f>
      </c>
      <c r="F638" s="14">
        <f>B638-C638</f>
      </c>
      <c r="G638" s="12"/>
      <c r="H638" s="13"/>
    </row>
    <row x14ac:dyDescent="0.25" r="639" customHeight="1" ht="18.75">
      <c r="A639" s="9">
        <v>43829</v>
      </c>
      <c r="B639" s="14">
        <f>COUNTIFS(Table1[Date],Sheet1!$A639,Table1[Sentiment V1],Sheet1!B$1)</f>
      </c>
      <c r="C639" s="14">
        <f>COUNTIFS(Table1[Date],Sheet1!$A639,Table1[Sentiment V1],Sheet1!C$1)</f>
      </c>
      <c r="D639" s="14">
        <f>COUNTIFS(Table1[Date],Sheet1!$A639,Table1[Sentiment V1],Sheet1!D$1)</f>
      </c>
      <c r="E639" s="16">
        <f>SUMIFS(Sheet2!B:B,Sheet2!A:A,Sheet1!A639)</f>
      </c>
      <c r="F639" s="14">
        <f>B639-C639</f>
      </c>
      <c r="G639" s="12"/>
      <c r="H639" s="13"/>
    </row>
    <row x14ac:dyDescent="0.25" r="640" customHeight="1" ht="18.75">
      <c r="A640" s="9">
        <v>43801</v>
      </c>
      <c r="B640" s="14">
        <f>COUNTIFS(Table1[Date],Sheet1!$A640,Table1[Sentiment V1],Sheet1!B$1)</f>
      </c>
      <c r="C640" s="14">
        <f>COUNTIFS(Table1[Date],Sheet1!$A640,Table1[Sentiment V1],Sheet1!C$1)</f>
      </c>
      <c r="D640" s="14">
        <f>COUNTIFS(Table1[Date],Sheet1!$A640,Table1[Sentiment V1],Sheet1!D$1)</f>
      </c>
      <c r="E640" s="16">
        <f>SUMIFS(Sheet2!B:B,Sheet2!A:A,Sheet1!A640)</f>
      </c>
      <c r="F640" s="14">
        <f>B640-C640</f>
      </c>
      <c r="G640" s="12"/>
      <c r="H640" s="13"/>
    </row>
    <row x14ac:dyDescent="0.25" r="641" customHeight="1" ht="18.75">
      <c r="A641" s="9">
        <v>43798</v>
      </c>
      <c r="B641" s="14">
        <f>COUNTIFS(Table1[Date],Sheet1!$A641,Table1[Sentiment V1],Sheet1!B$1)</f>
      </c>
      <c r="C641" s="14">
        <f>COUNTIFS(Table1[Date],Sheet1!$A641,Table1[Sentiment V1],Sheet1!C$1)</f>
      </c>
      <c r="D641" s="14">
        <f>COUNTIFS(Table1[Date],Sheet1!$A641,Table1[Sentiment V1],Sheet1!D$1)</f>
      </c>
      <c r="E641" s="16">
        <f>SUMIFS(Sheet2!B:B,Sheet2!A:A,Sheet1!A641)</f>
      </c>
      <c r="F641" s="14">
        <f>B641-C641</f>
      </c>
      <c r="G641" s="12"/>
      <c r="H641" s="13"/>
    </row>
    <row x14ac:dyDescent="0.25" r="642" customHeight="1" ht="18.75">
      <c r="A642" s="9">
        <v>43780</v>
      </c>
      <c r="B642" s="14">
        <f>COUNTIFS(Table1[Date],Sheet1!$A642,Table1[Sentiment V1],Sheet1!B$1)</f>
      </c>
      <c r="C642" s="14">
        <f>COUNTIFS(Table1[Date],Sheet1!$A642,Table1[Sentiment V1],Sheet1!C$1)</f>
      </c>
      <c r="D642" s="14">
        <f>COUNTIFS(Table1[Date],Sheet1!$A642,Table1[Sentiment V1],Sheet1!D$1)</f>
      </c>
      <c r="E642" s="16">
        <f>SUMIFS(Sheet2!B:B,Sheet2!A:A,Sheet1!A642)</f>
      </c>
      <c r="F642" s="14">
        <f>B642-C642</f>
      </c>
      <c r="G642" s="12"/>
      <c r="H642" s="13"/>
    </row>
    <row x14ac:dyDescent="0.25" r="643" customHeight="1" ht="18.75">
      <c r="A643" s="9">
        <v>43727</v>
      </c>
      <c r="B643" s="14">
        <f>COUNTIFS(Table1[Date],Sheet1!$A643,Table1[Sentiment V1],Sheet1!B$1)</f>
      </c>
      <c r="C643" s="14">
        <f>COUNTIFS(Table1[Date],Sheet1!$A643,Table1[Sentiment V1],Sheet1!C$1)</f>
      </c>
      <c r="D643" s="14">
        <f>COUNTIFS(Table1[Date],Sheet1!$A643,Table1[Sentiment V1],Sheet1!D$1)</f>
      </c>
      <c r="E643" s="16">
        <f>SUMIFS(Sheet2!B:B,Sheet2!A:A,Sheet1!A643)</f>
      </c>
      <c r="F643" s="14">
        <f>B643-C643</f>
      </c>
      <c r="G643" s="12"/>
      <c r="H643" s="13"/>
    </row>
    <row x14ac:dyDescent="0.25" r="644" customHeight="1" ht="18.75" hidden="1">
      <c r="A644" s="9">
        <v>43723</v>
      </c>
      <c r="B644" s="14">
        <f>COUNTIFS(Table1[Date],Sheet1!$A644,Table1[Sentiment V1],Sheet1!B$1)</f>
      </c>
      <c r="C644" s="14">
        <f>COUNTIFS(Table1[Date],Sheet1!$A644,Table1[Sentiment V1],Sheet1!C$1)</f>
      </c>
      <c r="D644" s="14">
        <f>COUNTIFS(Table1[Date],Sheet1!$A644,Table1[Sentiment V1],Sheet1!D$1)</f>
      </c>
      <c r="E644" s="15">
        <f>SUMIFS(Sheet2!B:B,Sheet2!A:A,Sheet1!A644)</f>
      </c>
      <c r="F644" s="14">
        <f>B644-C644</f>
      </c>
      <c r="G644" s="12"/>
      <c r="H644" s="13"/>
    </row>
    <row x14ac:dyDescent="0.25" r="645" customHeight="1" ht="18.75">
      <c r="A645" s="9">
        <v>43678</v>
      </c>
      <c r="B645" s="14">
        <f>COUNTIFS(Table1[Date],Sheet1!$A645,Table1[Sentiment V1],Sheet1!B$1)</f>
      </c>
      <c r="C645" s="14">
        <f>COUNTIFS(Table1[Date],Sheet1!$A645,Table1[Sentiment V1],Sheet1!C$1)</f>
      </c>
      <c r="D645" s="14">
        <f>COUNTIFS(Table1[Date],Sheet1!$A645,Table1[Sentiment V1],Sheet1!D$1)</f>
      </c>
      <c r="E645" s="16">
        <f>SUMIFS(Sheet2!B:B,Sheet2!A:A,Sheet1!A645)</f>
      </c>
      <c r="F645" s="14">
        <f>B645-C645</f>
      </c>
      <c r="G645" s="12"/>
      <c r="H645" s="13"/>
    </row>
    <row x14ac:dyDescent="0.25" r="646" customHeight="1" ht="18.75">
      <c r="A646" s="9">
        <v>43642</v>
      </c>
      <c r="B646" s="14">
        <f>COUNTIFS(Table1[Date],Sheet1!$A646,Table1[Sentiment V1],Sheet1!B$1)</f>
      </c>
      <c r="C646" s="14">
        <f>COUNTIFS(Table1[Date],Sheet1!$A646,Table1[Sentiment V1],Sheet1!C$1)</f>
      </c>
      <c r="D646" s="14">
        <f>COUNTIFS(Table1[Date],Sheet1!$A646,Table1[Sentiment V1],Sheet1!D$1)</f>
      </c>
      <c r="E646" s="16">
        <f>SUMIFS(Sheet2!B:B,Sheet2!A:A,Sheet1!A646)</f>
      </c>
      <c r="F646" s="14">
        <f>B646-C646</f>
      </c>
      <c r="G646" s="12"/>
      <c r="H646" s="13"/>
    </row>
    <row x14ac:dyDescent="0.25" r="647" customHeight="1" ht="18.75">
      <c r="A647" s="9">
        <v>43619</v>
      </c>
      <c r="B647" s="14">
        <f>COUNTIFS(Table1[Date],Sheet1!$A647,Table1[Sentiment V1],Sheet1!B$1)</f>
      </c>
      <c r="C647" s="14">
        <f>COUNTIFS(Table1[Date],Sheet1!$A647,Table1[Sentiment V1],Sheet1!C$1)</f>
      </c>
      <c r="D647" s="14">
        <f>COUNTIFS(Table1[Date],Sheet1!$A647,Table1[Sentiment V1],Sheet1!D$1)</f>
      </c>
      <c r="E647" s="16">
        <f>SUMIFS(Sheet2!B:B,Sheet2!A:A,Sheet1!A647)</f>
      </c>
      <c r="F647" s="14">
        <f>B647-C647</f>
      </c>
      <c r="G647" s="12"/>
      <c r="H647" s="13"/>
    </row>
    <row x14ac:dyDescent="0.25" r="648" customHeight="1" ht="18.75">
      <c r="A648" s="9">
        <v>43614</v>
      </c>
      <c r="B648" s="14">
        <f>COUNTIFS(Table1[Date],Sheet1!$A648,Table1[Sentiment V1],Sheet1!B$1)</f>
      </c>
      <c r="C648" s="14">
        <f>COUNTIFS(Table1[Date],Sheet1!$A648,Table1[Sentiment V1],Sheet1!C$1)</f>
      </c>
      <c r="D648" s="14">
        <f>COUNTIFS(Table1[Date],Sheet1!$A648,Table1[Sentiment V1],Sheet1!D$1)</f>
      </c>
      <c r="E648" s="16">
        <f>SUMIFS(Sheet2!B:B,Sheet2!A:A,Sheet1!A648)</f>
      </c>
      <c r="F648" s="14">
        <f>B648-C648</f>
      </c>
      <c r="G648" s="12"/>
      <c r="H648" s="13"/>
    </row>
    <row x14ac:dyDescent="0.25" r="649" customHeight="1" ht="18.75">
      <c r="A649" s="9">
        <v>43602</v>
      </c>
      <c r="B649" s="14">
        <f>COUNTIFS(Table1[Date],Sheet1!$A649,Table1[Sentiment V1],Sheet1!B$1)</f>
      </c>
      <c r="C649" s="14">
        <f>COUNTIFS(Table1[Date],Sheet1!$A649,Table1[Sentiment V1],Sheet1!C$1)</f>
      </c>
      <c r="D649" s="14">
        <f>COUNTIFS(Table1[Date],Sheet1!$A649,Table1[Sentiment V1],Sheet1!D$1)</f>
      </c>
      <c r="E649" s="16">
        <f>SUMIFS(Sheet2!B:B,Sheet2!A:A,Sheet1!A649)</f>
      </c>
      <c r="F649" s="14">
        <f>B649-C649</f>
      </c>
      <c r="G649" s="12"/>
      <c r="H649" s="13"/>
    </row>
    <row x14ac:dyDescent="0.25" r="650" customHeight="1" ht="18.75">
      <c r="A650" s="9">
        <v>43567</v>
      </c>
      <c r="B650" s="14">
        <f>COUNTIFS(Table1[Date],Sheet1!$A650,Table1[Sentiment V1],Sheet1!B$1)</f>
      </c>
      <c r="C650" s="14">
        <f>COUNTIFS(Table1[Date],Sheet1!$A650,Table1[Sentiment V1],Sheet1!C$1)</f>
      </c>
      <c r="D650" s="14">
        <f>COUNTIFS(Table1[Date],Sheet1!$A650,Table1[Sentiment V1],Sheet1!D$1)</f>
      </c>
      <c r="E650" s="16">
        <f>SUMIFS(Sheet2!B:B,Sheet2!A:A,Sheet1!A650)</f>
      </c>
      <c r="F650" s="14">
        <f>B650-C650</f>
      </c>
      <c r="G650" s="12"/>
      <c r="H650" s="13"/>
    </row>
    <row x14ac:dyDescent="0.25" r="651" customHeight="1" ht="18.75">
      <c r="A651" s="9">
        <v>43563</v>
      </c>
      <c r="B651" s="14">
        <f>COUNTIFS(Table1[Date],Sheet1!$A651,Table1[Sentiment V1],Sheet1!B$1)</f>
      </c>
      <c r="C651" s="14">
        <f>COUNTIFS(Table1[Date],Sheet1!$A651,Table1[Sentiment V1],Sheet1!C$1)</f>
      </c>
      <c r="D651" s="14">
        <f>COUNTIFS(Table1[Date],Sheet1!$A651,Table1[Sentiment V1],Sheet1!D$1)</f>
      </c>
      <c r="E651" s="16">
        <f>SUMIFS(Sheet2!B:B,Sheet2!A:A,Sheet1!A651)</f>
      </c>
      <c r="F651" s="14">
        <f>B651-C651</f>
      </c>
      <c r="G651" s="12"/>
      <c r="H651" s="13"/>
    </row>
    <row x14ac:dyDescent="0.25" r="652" customHeight="1" ht="18.75">
      <c r="A652" s="9">
        <v>43532</v>
      </c>
      <c r="B652" s="14">
        <f>COUNTIFS(Table1[Date],Sheet1!$A652,Table1[Sentiment V1],Sheet1!B$1)</f>
      </c>
      <c r="C652" s="14">
        <f>COUNTIFS(Table1[Date],Sheet1!$A652,Table1[Sentiment V1],Sheet1!C$1)</f>
      </c>
      <c r="D652" s="14">
        <f>COUNTIFS(Table1[Date],Sheet1!$A652,Table1[Sentiment V1],Sheet1!D$1)</f>
      </c>
      <c r="E652" s="16">
        <f>SUMIFS(Sheet2!B:B,Sheet2!A:A,Sheet1!A652)</f>
      </c>
      <c r="F652" s="14">
        <f>B652-C652</f>
      </c>
      <c r="G652" s="12"/>
      <c r="H652" s="13"/>
    </row>
    <row x14ac:dyDescent="0.25" r="653" customHeight="1" ht="18.75" hidden="1">
      <c r="A653" s="9">
        <v>43526</v>
      </c>
      <c r="B653" s="14">
        <f>COUNTIFS(Table1[Date],Sheet1!$A653,Table1[Sentiment V1],Sheet1!B$1)</f>
      </c>
      <c r="C653" s="14">
        <f>COUNTIFS(Table1[Date],Sheet1!$A653,Table1[Sentiment V1],Sheet1!C$1)</f>
      </c>
      <c r="D653" s="14">
        <f>COUNTIFS(Table1[Date],Sheet1!$A653,Table1[Sentiment V1],Sheet1!D$1)</f>
      </c>
      <c r="E653" s="15">
        <f>SUMIFS(Sheet2!B:B,Sheet2!A:A,Sheet1!A653)</f>
      </c>
      <c r="F653" s="14">
        <f>B653-C653</f>
      </c>
      <c r="G653" s="12"/>
      <c r="H653" s="13"/>
    </row>
    <row x14ac:dyDescent="0.25" r="654" customHeight="1" ht="18.75">
      <c r="A654" s="9">
        <v>43515</v>
      </c>
      <c r="B654" s="14">
        <f>COUNTIFS(Table1[Date],Sheet1!$A654,Table1[Sentiment V1],Sheet1!B$1)</f>
      </c>
      <c r="C654" s="14">
        <f>COUNTIFS(Table1[Date],Sheet1!$A654,Table1[Sentiment V1],Sheet1!C$1)</f>
      </c>
      <c r="D654" s="14">
        <f>COUNTIFS(Table1[Date],Sheet1!$A654,Table1[Sentiment V1],Sheet1!D$1)</f>
      </c>
      <c r="E654" s="16">
        <f>SUMIFS(Sheet2!B:B,Sheet2!A:A,Sheet1!A654)</f>
      </c>
      <c r="F654" s="14">
        <f>B654-C654</f>
      </c>
      <c r="G654" s="12"/>
      <c r="H654" s="13"/>
    </row>
    <row x14ac:dyDescent="0.25" r="655" customHeight="1" ht="18.75">
      <c r="A655" s="9">
        <v>43494</v>
      </c>
      <c r="B655" s="14">
        <f>COUNTIFS(Table1[Date],Sheet1!$A655,Table1[Sentiment V1],Sheet1!B$1)</f>
      </c>
      <c r="C655" s="14">
        <f>COUNTIFS(Table1[Date],Sheet1!$A655,Table1[Sentiment V1],Sheet1!C$1)</f>
      </c>
      <c r="D655" s="14">
        <f>COUNTIFS(Table1[Date],Sheet1!$A655,Table1[Sentiment V1],Sheet1!D$1)</f>
      </c>
      <c r="E655" s="16">
        <f>SUMIFS(Sheet2!B:B,Sheet2!A:A,Sheet1!A655)</f>
      </c>
      <c r="F655" s="14">
        <f>B655-C655</f>
      </c>
      <c r="G655" s="12"/>
      <c r="H655" s="13"/>
    </row>
    <row x14ac:dyDescent="0.25" r="656" customHeight="1" ht="18.75">
      <c r="A656" s="9">
        <v>43482</v>
      </c>
      <c r="B656" s="14">
        <f>COUNTIFS(Table1[Date],Sheet1!$A656,Table1[Sentiment V1],Sheet1!B$1)</f>
      </c>
      <c r="C656" s="14">
        <f>COUNTIFS(Table1[Date],Sheet1!$A656,Table1[Sentiment V1],Sheet1!C$1)</f>
      </c>
      <c r="D656" s="14">
        <f>COUNTIFS(Table1[Date],Sheet1!$A656,Table1[Sentiment V1],Sheet1!D$1)</f>
      </c>
      <c r="E656" s="16">
        <f>SUMIFS(Sheet2!B:B,Sheet2!A:A,Sheet1!A656)</f>
      </c>
      <c r="F656" s="14">
        <f>B656-C656</f>
      </c>
      <c r="G656" s="12"/>
      <c r="H656" s="13"/>
    </row>
    <row x14ac:dyDescent="0.25" r="657" customHeight="1" ht="18.75">
      <c r="A657" s="9">
        <v>43472</v>
      </c>
      <c r="B657" s="14">
        <f>COUNTIFS(Table1[Date],Sheet1!$A657,Table1[Sentiment V1],Sheet1!B$1)</f>
      </c>
      <c r="C657" s="14">
        <f>COUNTIFS(Table1[Date],Sheet1!$A657,Table1[Sentiment V1],Sheet1!C$1)</f>
      </c>
      <c r="D657" s="14">
        <f>COUNTIFS(Table1[Date],Sheet1!$A657,Table1[Sentiment V1],Sheet1!D$1)</f>
      </c>
      <c r="E657" s="16">
        <f>SUMIFS(Sheet2!B:B,Sheet2!A:A,Sheet1!A657)</f>
      </c>
      <c r="F657" s="14">
        <f>B657-C657</f>
      </c>
      <c r="G657" s="12"/>
      <c r="H657" s="13"/>
    </row>
    <row x14ac:dyDescent="0.25" r="658" customHeight="1" ht="18.75" hidden="1">
      <c r="A658" s="9">
        <v>43458</v>
      </c>
      <c r="B658" s="14">
        <f>COUNTIFS(Table1[Date],Sheet1!$A658,Table1[Sentiment V1],Sheet1!B$1)</f>
      </c>
      <c r="C658" s="14">
        <f>COUNTIFS(Table1[Date],Sheet1!$A658,Table1[Sentiment V1],Sheet1!C$1)</f>
      </c>
      <c r="D658" s="14">
        <f>COUNTIFS(Table1[Date],Sheet1!$A658,Table1[Sentiment V1],Sheet1!D$1)</f>
      </c>
      <c r="E658" s="15">
        <f>SUMIFS(Sheet2!B:B,Sheet2!A:A,Sheet1!A658)</f>
      </c>
      <c r="F658" s="14">
        <f>B658-C658</f>
      </c>
      <c r="G658" s="12"/>
      <c r="H658" s="13"/>
    </row>
    <row x14ac:dyDescent="0.25" r="659" customHeight="1" ht="18.75" hidden="1">
      <c r="A659" s="9">
        <v>43426</v>
      </c>
      <c r="B659" s="14">
        <f>COUNTIFS(Table1[Date],Sheet1!$A659,Table1[Sentiment V1],Sheet1!B$1)</f>
      </c>
      <c r="C659" s="14">
        <f>COUNTIFS(Table1[Date],Sheet1!$A659,Table1[Sentiment V1],Sheet1!C$1)</f>
      </c>
      <c r="D659" s="14">
        <f>COUNTIFS(Table1[Date],Sheet1!$A659,Table1[Sentiment V1],Sheet1!D$1)</f>
      </c>
      <c r="E659" s="15">
        <f>SUMIFS(Sheet2!B:B,Sheet2!A:A,Sheet1!A659)</f>
      </c>
      <c r="F659" s="14">
        <f>B659-C659</f>
      </c>
      <c r="G659" s="12"/>
      <c r="H659" s="13"/>
    </row>
    <row x14ac:dyDescent="0.25" r="660" customHeight="1" ht="18.75" hidden="1">
      <c r="A660" s="9">
        <v>43418</v>
      </c>
      <c r="B660" s="14">
        <f>COUNTIFS(Table1[Date],Sheet1!$A660,Table1[Sentiment V1],Sheet1!B$1)</f>
      </c>
      <c r="C660" s="14">
        <f>COUNTIFS(Table1[Date],Sheet1!$A660,Table1[Sentiment V1],Sheet1!C$1)</f>
      </c>
      <c r="D660" s="14">
        <f>COUNTIFS(Table1[Date],Sheet1!$A660,Table1[Sentiment V1],Sheet1!D$1)</f>
      </c>
      <c r="E660" s="15">
        <f>SUMIFS(Sheet2!B:B,Sheet2!A:A,Sheet1!A660)</f>
      </c>
      <c r="F660" s="14">
        <f>B660-C660</f>
      </c>
      <c r="G660" s="12"/>
      <c r="H660" s="13"/>
    </row>
    <row x14ac:dyDescent="0.25" r="661" customHeight="1" ht="18.75" hidden="1">
      <c r="A661" s="9">
        <v>43409</v>
      </c>
      <c r="B661" s="14">
        <f>COUNTIFS(Table1[Date],Sheet1!$A661,Table1[Sentiment V1],Sheet1!B$1)</f>
      </c>
      <c r="C661" s="14">
        <f>COUNTIFS(Table1[Date],Sheet1!$A661,Table1[Sentiment V1],Sheet1!C$1)</f>
      </c>
      <c r="D661" s="14">
        <f>COUNTIFS(Table1[Date],Sheet1!$A661,Table1[Sentiment V1],Sheet1!D$1)</f>
      </c>
      <c r="E661" s="15">
        <f>SUMIFS(Sheet2!B:B,Sheet2!A:A,Sheet1!A661)</f>
      </c>
      <c r="F661" s="14">
        <f>B661-C661</f>
      </c>
      <c r="G661" s="12"/>
      <c r="H661" s="13"/>
    </row>
    <row x14ac:dyDescent="0.25" r="662" customHeight="1" ht="18.75" hidden="1">
      <c r="A662" s="9">
        <v>43394</v>
      </c>
      <c r="B662" s="14">
        <f>COUNTIFS(Table1[Date],Sheet1!$A662,Table1[Sentiment V1],Sheet1!B$1)</f>
      </c>
      <c r="C662" s="14">
        <f>COUNTIFS(Table1[Date],Sheet1!$A662,Table1[Sentiment V1],Sheet1!C$1)</f>
      </c>
      <c r="D662" s="14">
        <f>COUNTIFS(Table1[Date],Sheet1!$A662,Table1[Sentiment V1],Sheet1!D$1)</f>
      </c>
      <c r="E662" s="15">
        <f>SUMIFS(Sheet2!B:B,Sheet2!A:A,Sheet1!A662)</f>
      </c>
      <c r="F662" s="14">
        <f>B662-C662</f>
      </c>
      <c r="G662" s="12"/>
      <c r="H662" s="13"/>
    </row>
    <row x14ac:dyDescent="0.25" r="663" customHeight="1" ht="18.75" hidden="1">
      <c r="A663" s="9">
        <v>43391</v>
      </c>
      <c r="B663" s="14">
        <f>COUNTIFS(Table1[Date],Sheet1!$A663,Table1[Sentiment V1],Sheet1!B$1)</f>
      </c>
      <c r="C663" s="14">
        <f>COUNTIFS(Table1[Date],Sheet1!$A663,Table1[Sentiment V1],Sheet1!C$1)</f>
      </c>
      <c r="D663" s="14">
        <f>COUNTIFS(Table1[Date],Sheet1!$A663,Table1[Sentiment V1],Sheet1!D$1)</f>
      </c>
      <c r="E663" s="15">
        <f>SUMIFS(Sheet2!B:B,Sheet2!A:A,Sheet1!A663)</f>
      </c>
      <c r="F663" s="14">
        <f>B663-C663</f>
      </c>
      <c r="G663" s="12"/>
      <c r="H663" s="13"/>
    </row>
    <row x14ac:dyDescent="0.25" r="664" customHeight="1" ht="18.75" hidden="1">
      <c r="A664" s="9">
        <v>43382</v>
      </c>
      <c r="B664" s="14">
        <f>COUNTIFS(Table1[Date],Sheet1!$A664,Table1[Sentiment V1],Sheet1!B$1)</f>
      </c>
      <c r="C664" s="14">
        <f>COUNTIFS(Table1[Date],Sheet1!$A664,Table1[Sentiment V1],Sheet1!C$1)</f>
      </c>
      <c r="D664" s="14">
        <f>COUNTIFS(Table1[Date],Sheet1!$A664,Table1[Sentiment V1],Sheet1!D$1)</f>
      </c>
      <c r="E664" s="15">
        <f>SUMIFS(Sheet2!B:B,Sheet2!A:A,Sheet1!A664)</f>
      </c>
      <c r="F664" s="14">
        <f>B664-C664</f>
      </c>
      <c r="G664" s="12"/>
      <c r="H664" s="13"/>
    </row>
    <row x14ac:dyDescent="0.25" r="665" customHeight="1" ht="18.75" hidden="1">
      <c r="A665" s="9">
        <v>43364</v>
      </c>
      <c r="B665" s="14">
        <f>COUNTIFS(Table1[Date],Sheet1!$A665,Table1[Sentiment V1],Sheet1!B$1)</f>
      </c>
      <c r="C665" s="14">
        <f>COUNTIFS(Table1[Date],Sheet1!$A665,Table1[Sentiment V1],Sheet1!C$1)</f>
      </c>
      <c r="D665" s="14">
        <f>COUNTIFS(Table1[Date],Sheet1!$A665,Table1[Sentiment V1],Sheet1!D$1)</f>
      </c>
      <c r="E665" s="15">
        <f>SUMIFS(Sheet2!B:B,Sheet2!A:A,Sheet1!A665)</f>
      </c>
      <c r="F665" s="14">
        <f>B665-C665</f>
      </c>
      <c r="G665" s="12"/>
      <c r="H665" s="13"/>
    </row>
    <row x14ac:dyDescent="0.25" r="666" customHeight="1" ht="18.75" hidden="1">
      <c r="A666" s="9">
        <v>43353</v>
      </c>
      <c r="B666" s="14">
        <f>COUNTIFS(Table1[Date],Sheet1!$A666,Table1[Sentiment V1],Sheet1!B$1)</f>
      </c>
      <c r="C666" s="14">
        <f>COUNTIFS(Table1[Date],Sheet1!$A666,Table1[Sentiment V1],Sheet1!C$1)</f>
      </c>
      <c r="D666" s="14">
        <f>COUNTIFS(Table1[Date],Sheet1!$A666,Table1[Sentiment V1],Sheet1!D$1)</f>
      </c>
      <c r="E666" s="15">
        <f>SUMIFS(Sheet2!B:B,Sheet2!A:A,Sheet1!A666)</f>
      </c>
      <c r="F666" s="14">
        <f>B666-C666</f>
      </c>
      <c r="G666" s="12"/>
      <c r="H666" s="13"/>
    </row>
    <row x14ac:dyDescent="0.25" r="667" customHeight="1" ht="18.75" hidden="1">
      <c r="A667" s="9">
        <v>43322</v>
      </c>
      <c r="B667" s="14">
        <f>COUNTIFS(Table1[Date],Sheet1!$A667,Table1[Sentiment V1],Sheet1!B$1)</f>
      </c>
      <c r="C667" s="14">
        <f>COUNTIFS(Table1[Date],Sheet1!$A667,Table1[Sentiment V1],Sheet1!C$1)</f>
      </c>
      <c r="D667" s="14">
        <f>COUNTIFS(Table1[Date],Sheet1!$A667,Table1[Sentiment V1],Sheet1!D$1)</f>
      </c>
      <c r="E667" s="15">
        <f>SUMIFS(Sheet2!B:B,Sheet2!A:A,Sheet1!A667)</f>
      </c>
      <c r="F667" s="14">
        <f>B667-C667</f>
      </c>
      <c r="G667" s="12"/>
      <c r="H667" s="13"/>
    </row>
    <row x14ac:dyDescent="0.25" r="668" customHeight="1" ht="18.75" hidden="1">
      <c r="A668" s="9">
        <v>43236</v>
      </c>
      <c r="B668" s="14">
        <f>COUNTIFS(Table1[Date],Sheet1!$A668,Table1[Sentiment V1],Sheet1!B$1)</f>
      </c>
      <c r="C668" s="14">
        <f>COUNTIFS(Table1[Date],Sheet1!$A668,Table1[Sentiment V1],Sheet1!C$1)</f>
      </c>
      <c r="D668" s="14">
        <f>COUNTIFS(Table1[Date],Sheet1!$A668,Table1[Sentiment V1],Sheet1!D$1)</f>
      </c>
      <c r="E668" s="15">
        <f>SUMIFS(Sheet2!B:B,Sheet2!A:A,Sheet1!A668)</f>
      </c>
      <c r="F668" s="14">
        <f>B668-C668</f>
      </c>
      <c r="G668" s="12"/>
      <c r="H668" s="13"/>
    </row>
    <row x14ac:dyDescent="0.25" r="669" customHeight="1" ht="18.75" hidden="1">
      <c r="A669" s="9">
        <v>43234</v>
      </c>
      <c r="B669" s="14">
        <f>COUNTIFS(Table1[Date],Sheet1!$A669,Table1[Sentiment V1],Sheet1!B$1)</f>
      </c>
      <c r="C669" s="14">
        <f>COUNTIFS(Table1[Date],Sheet1!$A669,Table1[Sentiment V1],Sheet1!C$1)</f>
      </c>
      <c r="D669" s="14">
        <f>COUNTIFS(Table1[Date],Sheet1!$A669,Table1[Sentiment V1],Sheet1!D$1)</f>
      </c>
      <c r="E669" s="15">
        <f>SUMIFS(Sheet2!B:B,Sheet2!A:A,Sheet1!A669)</f>
      </c>
      <c r="F669" s="14">
        <f>B669-C669</f>
      </c>
      <c r="G669" s="12"/>
      <c r="H669" s="13"/>
    </row>
    <row x14ac:dyDescent="0.25" r="670" customHeight="1" ht="18.75" hidden="1">
      <c r="A670" s="9">
        <v>43160</v>
      </c>
      <c r="B670" s="14">
        <f>COUNTIFS(Table1[Date],Sheet1!$A670,Table1[Sentiment V1],Sheet1!B$1)</f>
      </c>
      <c r="C670" s="14">
        <f>COUNTIFS(Table1[Date],Sheet1!$A670,Table1[Sentiment V1],Sheet1!C$1)</f>
      </c>
      <c r="D670" s="14">
        <f>COUNTIFS(Table1[Date],Sheet1!$A670,Table1[Sentiment V1],Sheet1!D$1)</f>
      </c>
      <c r="E670" s="15">
        <f>SUMIFS(Sheet2!B:B,Sheet2!A:A,Sheet1!A670)</f>
      </c>
      <c r="F670" s="14">
        <f>B670-C670</f>
      </c>
      <c r="G670" s="12"/>
      <c r="H670" s="13"/>
    </row>
    <row x14ac:dyDescent="0.25" r="671" customHeight="1" ht="18.75" hidden="1">
      <c r="A671" s="9">
        <v>43159</v>
      </c>
      <c r="B671" s="14">
        <f>COUNTIFS(Table1[Date],Sheet1!$A671,Table1[Sentiment V1],Sheet1!B$1)</f>
      </c>
      <c r="C671" s="14">
        <f>COUNTIFS(Table1[Date],Sheet1!$A671,Table1[Sentiment V1],Sheet1!C$1)</f>
      </c>
      <c r="D671" s="14">
        <f>COUNTIFS(Table1[Date],Sheet1!$A671,Table1[Sentiment V1],Sheet1!D$1)</f>
      </c>
      <c r="E671" s="15">
        <f>SUMIFS(Sheet2!B:B,Sheet2!A:A,Sheet1!A671)</f>
      </c>
      <c r="F671" s="14">
        <f>B671-C671</f>
      </c>
      <c r="G671" s="12"/>
      <c r="H671" s="13"/>
    </row>
    <row x14ac:dyDescent="0.25" r="672" customHeight="1" ht="18.75" hidden="1">
      <c r="A672" s="9">
        <v>43131</v>
      </c>
      <c r="B672" s="14">
        <f>COUNTIFS(Table1[Date],Sheet1!$A672,Table1[Sentiment V1],Sheet1!B$1)</f>
      </c>
      <c r="C672" s="14">
        <f>COUNTIFS(Table1[Date],Sheet1!$A672,Table1[Sentiment V1],Sheet1!C$1)</f>
      </c>
      <c r="D672" s="14">
        <f>COUNTIFS(Table1[Date],Sheet1!$A672,Table1[Sentiment V1],Sheet1!D$1)</f>
      </c>
      <c r="E672" s="15">
        <f>SUMIFS(Sheet2!B:B,Sheet2!A:A,Sheet1!A672)</f>
      </c>
      <c r="F672" s="14">
        <f>B672-C672</f>
      </c>
      <c r="G672" s="12"/>
      <c r="H672" s="13"/>
    </row>
    <row x14ac:dyDescent="0.25" r="673" customHeight="1" ht="18.75" hidden="1">
      <c r="A673" s="9">
        <v>43115</v>
      </c>
      <c r="B673" s="14">
        <f>COUNTIFS(Table1[Date],Sheet1!$A673,Table1[Sentiment V1],Sheet1!B$1)</f>
      </c>
      <c r="C673" s="14">
        <f>COUNTIFS(Table1[Date],Sheet1!$A673,Table1[Sentiment V1],Sheet1!C$1)</f>
      </c>
      <c r="D673" s="14">
        <f>COUNTIFS(Table1[Date],Sheet1!$A673,Table1[Sentiment V1],Sheet1!D$1)</f>
      </c>
      <c r="E673" s="15">
        <f>SUMIFS(Sheet2!B:B,Sheet2!A:A,Sheet1!A673)</f>
      </c>
      <c r="F673" s="14">
        <f>B673-C673</f>
      </c>
      <c r="G673" s="12"/>
      <c r="H673" s="13"/>
    </row>
    <row x14ac:dyDescent="0.25" r="674" customHeight="1" ht="18.75" hidden="1">
      <c r="A674" s="9">
        <v>43089</v>
      </c>
      <c r="B674" s="14">
        <f>COUNTIFS(Table1[Date],Sheet1!$A674,Table1[Sentiment V1],Sheet1!B$1)</f>
      </c>
      <c r="C674" s="14">
        <f>COUNTIFS(Table1[Date],Sheet1!$A674,Table1[Sentiment V1],Sheet1!C$1)</f>
      </c>
      <c r="D674" s="14">
        <f>COUNTIFS(Table1[Date],Sheet1!$A674,Table1[Sentiment V1],Sheet1!D$1)</f>
      </c>
      <c r="E674" s="15">
        <f>SUMIFS(Sheet2!B:B,Sheet2!A:A,Sheet1!A674)</f>
      </c>
      <c r="F674" s="14">
        <f>B674-C674</f>
      </c>
      <c r="G674" s="12"/>
      <c r="H674" s="13"/>
    </row>
    <row x14ac:dyDescent="0.25" r="675" customHeight="1" ht="18.75" hidden="1">
      <c r="A675" s="9">
        <v>43075</v>
      </c>
      <c r="B675" s="14">
        <f>COUNTIFS(Table1[Date],Sheet1!$A675,Table1[Sentiment V1],Sheet1!B$1)</f>
      </c>
      <c r="C675" s="14">
        <f>COUNTIFS(Table1[Date],Sheet1!$A675,Table1[Sentiment V1],Sheet1!C$1)</f>
      </c>
      <c r="D675" s="14">
        <f>COUNTIFS(Table1[Date],Sheet1!$A675,Table1[Sentiment V1],Sheet1!D$1)</f>
      </c>
      <c r="E675" s="15">
        <f>SUMIFS(Sheet2!B:B,Sheet2!A:A,Sheet1!A675)</f>
      </c>
      <c r="F675" s="14">
        <f>B675-C675</f>
      </c>
      <c r="G675" s="12"/>
      <c r="H675" s="13"/>
    </row>
    <row x14ac:dyDescent="0.25" r="676" customHeight="1" ht="18.75" hidden="1">
      <c r="A676" s="9">
        <v>43056</v>
      </c>
      <c r="B676" s="14">
        <f>COUNTIFS(Table1[Date],Sheet1!$A676,Table1[Sentiment V1],Sheet1!B$1)</f>
      </c>
      <c r="C676" s="14">
        <f>COUNTIFS(Table1[Date],Sheet1!$A676,Table1[Sentiment V1],Sheet1!C$1)</f>
      </c>
      <c r="D676" s="14">
        <f>COUNTIFS(Table1[Date],Sheet1!$A676,Table1[Sentiment V1],Sheet1!D$1)</f>
      </c>
      <c r="E676" s="15">
        <f>SUMIFS(Sheet2!B:B,Sheet2!A:A,Sheet1!A676)</f>
      </c>
      <c r="F676" s="14">
        <f>B676-C676</f>
      </c>
      <c r="G676" s="12"/>
      <c r="H676" s="13"/>
    </row>
    <row x14ac:dyDescent="0.25" r="677" customHeight="1" ht="18.75" hidden="1">
      <c r="A677" s="9">
        <v>43048</v>
      </c>
      <c r="B677" s="14">
        <f>COUNTIFS(Table1[Date],Sheet1!$A677,Table1[Sentiment V1],Sheet1!B$1)</f>
      </c>
      <c r="C677" s="14">
        <f>COUNTIFS(Table1[Date],Sheet1!$A677,Table1[Sentiment V1],Sheet1!C$1)</f>
      </c>
      <c r="D677" s="14">
        <f>COUNTIFS(Table1[Date],Sheet1!$A677,Table1[Sentiment V1],Sheet1!D$1)</f>
      </c>
      <c r="E677" s="15">
        <f>SUMIFS(Sheet2!B:B,Sheet2!A:A,Sheet1!A677)</f>
      </c>
      <c r="F677" s="14">
        <f>B677-C677</f>
      </c>
      <c r="G677" s="12"/>
      <c r="H677" s="13"/>
    </row>
    <row x14ac:dyDescent="0.25" r="678" customHeight="1" ht="18.75" hidden="1">
      <c r="A678" s="9">
        <v>43043</v>
      </c>
      <c r="B678" s="14">
        <f>COUNTIFS(Table1[Date],Sheet1!$A678,Table1[Sentiment V1],Sheet1!B$1)</f>
      </c>
      <c r="C678" s="14">
        <f>COUNTIFS(Table1[Date],Sheet1!$A678,Table1[Sentiment V1],Sheet1!C$1)</f>
      </c>
      <c r="D678" s="14">
        <f>COUNTIFS(Table1[Date],Sheet1!$A678,Table1[Sentiment V1],Sheet1!D$1)</f>
      </c>
      <c r="E678" s="15">
        <f>SUMIFS(Sheet2!B:B,Sheet2!A:A,Sheet1!A678)</f>
      </c>
      <c r="F678" s="14">
        <f>B678-C678</f>
      </c>
      <c r="G678" s="12"/>
      <c r="H678" s="13"/>
    </row>
    <row x14ac:dyDescent="0.25" r="679" customHeight="1" ht="18.75" hidden="1">
      <c r="A679" s="9">
        <v>43014</v>
      </c>
      <c r="B679" s="14">
        <f>COUNTIFS(Table1[Date],Sheet1!$A679,Table1[Sentiment V1],Sheet1!B$1)</f>
      </c>
      <c r="C679" s="14">
        <f>COUNTIFS(Table1[Date],Sheet1!$A679,Table1[Sentiment V1],Sheet1!C$1)</f>
      </c>
      <c r="D679" s="14">
        <f>COUNTIFS(Table1[Date],Sheet1!$A679,Table1[Sentiment V1],Sheet1!D$1)</f>
      </c>
      <c r="E679" s="15">
        <f>SUMIFS(Sheet2!B:B,Sheet2!A:A,Sheet1!A679)</f>
      </c>
      <c r="F679" s="14">
        <f>B679-C679</f>
      </c>
      <c r="G679" s="12"/>
      <c r="H679" s="13"/>
    </row>
    <row x14ac:dyDescent="0.25" r="680" customHeight="1" ht="18.75" hidden="1">
      <c r="A680" s="9">
        <v>42995</v>
      </c>
      <c r="B680" s="14">
        <f>COUNTIFS(Table1[Date],Sheet1!$A680,Table1[Sentiment V1],Sheet1!B$1)</f>
      </c>
      <c r="C680" s="14">
        <f>COUNTIFS(Table1[Date],Sheet1!$A680,Table1[Sentiment V1],Sheet1!C$1)</f>
      </c>
      <c r="D680" s="14">
        <f>COUNTIFS(Table1[Date],Sheet1!$A680,Table1[Sentiment V1],Sheet1!D$1)</f>
      </c>
      <c r="E680" s="15">
        <f>SUMIFS(Sheet2!B:B,Sheet2!A:A,Sheet1!A680)</f>
      </c>
      <c r="F680" s="14">
        <f>B680-C680</f>
      </c>
      <c r="G680" s="12"/>
      <c r="H680" s="13"/>
    </row>
    <row x14ac:dyDescent="0.25" r="681" customHeight="1" ht="18.75" hidden="1">
      <c r="A681" s="9">
        <v>42970</v>
      </c>
      <c r="B681" s="14">
        <f>COUNTIFS(Table1[Date],Sheet1!$A681,Table1[Sentiment V1],Sheet1!B$1)</f>
      </c>
      <c r="C681" s="14">
        <f>COUNTIFS(Table1[Date],Sheet1!$A681,Table1[Sentiment V1],Sheet1!C$1)</f>
      </c>
      <c r="D681" s="14">
        <f>COUNTIFS(Table1[Date],Sheet1!$A681,Table1[Sentiment V1],Sheet1!D$1)</f>
      </c>
      <c r="E681" s="15">
        <f>SUMIFS(Sheet2!B:B,Sheet2!A:A,Sheet1!A681)</f>
      </c>
      <c r="F681" s="14">
        <f>B681-C681</f>
      </c>
      <c r="G681" s="12"/>
      <c r="H681" s="13"/>
    </row>
    <row x14ac:dyDescent="0.25" r="682" customHeight="1" ht="18.75" hidden="1">
      <c r="A682" s="9">
        <v>42965</v>
      </c>
      <c r="B682" s="14">
        <f>COUNTIFS(Table1[Date],Sheet1!$A682,Table1[Sentiment V1],Sheet1!B$1)</f>
      </c>
      <c r="C682" s="14">
        <f>COUNTIFS(Table1[Date],Sheet1!$A682,Table1[Sentiment V1],Sheet1!C$1)</f>
      </c>
      <c r="D682" s="14">
        <f>COUNTIFS(Table1[Date],Sheet1!$A682,Table1[Sentiment V1],Sheet1!D$1)</f>
      </c>
      <c r="E682" s="15">
        <f>SUMIFS(Sheet2!B:B,Sheet2!A:A,Sheet1!A682)</f>
      </c>
      <c r="F682" s="14">
        <f>B682-C682</f>
      </c>
      <c r="G682" s="12"/>
      <c r="H682" s="13"/>
    </row>
    <row x14ac:dyDescent="0.25" r="683" customHeight="1" ht="18.75" hidden="1">
      <c r="A683" s="9">
        <v>42954</v>
      </c>
      <c r="B683" s="14">
        <f>COUNTIFS(Table1[Date],Sheet1!$A683,Table1[Sentiment V1],Sheet1!B$1)</f>
      </c>
      <c r="C683" s="14">
        <f>COUNTIFS(Table1[Date],Sheet1!$A683,Table1[Sentiment V1],Sheet1!C$1)</f>
      </c>
      <c r="D683" s="14">
        <f>COUNTIFS(Table1[Date],Sheet1!$A683,Table1[Sentiment V1],Sheet1!D$1)</f>
      </c>
      <c r="E683" s="15">
        <f>SUMIFS(Sheet2!B:B,Sheet2!A:A,Sheet1!A683)</f>
      </c>
      <c r="F683" s="14">
        <f>B683-C683</f>
      </c>
      <c r="G683" s="12"/>
      <c r="H683" s="13"/>
    </row>
    <row x14ac:dyDescent="0.25" r="684" customHeight="1" ht="18.75" hidden="1">
      <c r="A684" s="9">
        <v>42926</v>
      </c>
      <c r="B684" s="14">
        <f>COUNTIFS(Table1[Date],Sheet1!$A684,Table1[Sentiment V1],Sheet1!B$1)</f>
      </c>
      <c r="C684" s="14">
        <f>COUNTIFS(Table1[Date],Sheet1!$A684,Table1[Sentiment V1],Sheet1!C$1)</f>
      </c>
      <c r="D684" s="14">
        <f>COUNTIFS(Table1[Date],Sheet1!$A684,Table1[Sentiment V1],Sheet1!D$1)</f>
      </c>
      <c r="E684" s="15">
        <f>SUMIFS(Sheet2!B:B,Sheet2!A:A,Sheet1!A684)</f>
      </c>
      <c r="F684" s="14">
        <f>B684-C684</f>
      </c>
      <c r="G684" s="12"/>
      <c r="H684" s="13"/>
    </row>
    <row x14ac:dyDescent="0.25" r="685" customHeight="1" ht="18.75" hidden="1">
      <c r="A685" s="9">
        <v>42906</v>
      </c>
      <c r="B685" s="14">
        <f>COUNTIFS(Table1[Date],Sheet1!$A685,Table1[Sentiment V1],Sheet1!B$1)</f>
      </c>
      <c r="C685" s="14">
        <f>COUNTIFS(Table1[Date],Sheet1!$A685,Table1[Sentiment V1],Sheet1!C$1)</f>
      </c>
      <c r="D685" s="14">
        <f>COUNTIFS(Table1[Date],Sheet1!$A685,Table1[Sentiment V1],Sheet1!D$1)</f>
      </c>
      <c r="E685" s="15">
        <f>SUMIFS(Sheet2!B:B,Sheet2!A:A,Sheet1!A685)</f>
      </c>
      <c r="F685" s="14">
        <f>B685-C685</f>
      </c>
      <c r="G685" s="12"/>
      <c r="H685" s="13"/>
    </row>
    <row x14ac:dyDescent="0.25" r="686" customHeight="1" ht="18.75" hidden="1">
      <c r="A686" s="9">
        <v>42897</v>
      </c>
      <c r="B686" s="14">
        <f>COUNTIFS(Table1[Date],Sheet1!$A686,Table1[Sentiment V1],Sheet1!B$1)</f>
      </c>
      <c r="C686" s="14">
        <f>COUNTIFS(Table1[Date],Sheet1!$A686,Table1[Sentiment V1],Sheet1!C$1)</f>
      </c>
      <c r="D686" s="14">
        <f>COUNTIFS(Table1[Date],Sheet1!$A686,Table1[Sentiment V1],Sheet1!D$1)</f>
      </c>
      <c r="E686" s="15">
        <f>SUMIFS(Sheet2!B:B,Sheet2!A:A,Sheet1!A686)</f>
      </c>
      <c r="F686" s="14">
        <f>B686-C686</f>
      </c>
      <c r="G686" s="12"/>
      <c r="H686" s="13"/>
    </row>
    <row x14ac:dyDescent="0.25" r="687" customHeight="1" ht="18.75" hidden="1">
      <c r="A687" s="9">
        <v>42880</v>
      </c>
      <c r="B687" s="14">
        <f>COUNTIFS(Table1[Date],Sheet1!$A687,Table1[Sentiment V1],Sheet1!B$1)</f>
      </c>
      <c r="C687" s="14">
        <f>COUNTIFS(Table1[Date],Sheet1!$A687,Table1[Sentiment V1],Sheet1!C$1)</f>
      </c>
      <c r="D687" s="14">
        <f>COUNTIFS(Table1[Date],Sheet1!$A687,Table1[Sentiment V1],Sheet1!D$1)</f>
      </c>
      <c r="E687" s="15">
        <f>SUMIFS(Sheet2!B:B,Sheet2!A:A,Sheet1!A687)</f>
      </c>
      <c r="F687" s="14">
        <f>B687-C687</f>
      </c>
      <c r="G687" s="12"/>
      <c r="H687" s="13"/>
    </row>
    <row x14ac:dyDescent="0.25" r="688" customHeight="1" ht="18.75" hidden="1">
      <c r="A688" s="9">
        <v>42863</v>
      </c>
      <c r="B688" s="14">
        <f>COUNTIFS(Table1[Date],Sheet1!$A688,Table1[Sentiment V1],Sheet1!B$1)</f>
      </c>
      <c r="C688" s="14">
        <f>COUNTIFS(Table1[Date],Sheet1!$A688,Table1[Sentiment V1],Sheet1!C$1)</f>
      </c>
      <c r="D688" s="14">
        <f>COUNTIFS(Table1[Date],Sheet1!$A688,Table1[Sentiment V1],Sheet1!D$1)</f>
      </c>
      <c r="E688" s="15">
        <f>SUMIFS(Sheet2!B:B,Sheet2!A:A,Sheet1!A688)</f>
      </c>
      <c r="F688" s="14">
        <f>B688-C688</f>
      </c>
      <c r="G688" s="12"/>
      <c r="H688" s="13"/>
    </row>
    <row x14ac:dyDescent="0.25" r="689" customHeight="1" ht="18.75" hidden="1">
      <c r="A689" s="9">
        <v>42861</v>
      </c>
      <c r="B689" s="14">
        <f>COUNTIFS(Table1[Date],Sheet1!$A689,Table1[Sentiment V1],Sheet1!B$1)</f>
      </c>
      <c r="C689" s="14">
        <f>COUNTIFS(Table1[Date],Sheet1!$A689,Table1[Sentiment V1],Sheet1!C$1)</f>
      </c>
      <c r="D689" s="14">
        <f>COUNTIFS(Table1[Date],Sheet1!$A689,Table1[Sentiment V1],Sheet1!D$1)</f>
      </c>
      <c r="E689" s="15">
        <f>SUMIFS(Sheet2!B:B,Sheet2!A:A,Sheet1!A689)</f>
      </c>
      <c r="F689" s="14">
        <f>B689-C689</f>
      </c>
      <c r="G689" s="12"/>
      <c r="H689" s="13"/>
    </row>
    <row x14ac:dyDescent="0.25" r="690" customHeight="1" ht="18.75" hidden="1">
      <c r="A690" s="9">
        <v>42859</v>
      </c>
      <c r="B690" s="14">
        <f>COUNTIFS(Table1[Date],Sheet1!$A690,Table1[Sentiment V1],Sheet1!B$1)</f>
      </c>
      <c r="C690" s="14">
        <f>COUNTIFS(Table1[Date],Sheet1!$A690,Table1[Sentiment V1],Sheet1!C$1)</f>
      </c>
      <c r="D690" s="14">
        <f>COUNTIFS(Table1[Date],Sheet1!$A690,Table1[Sentiment V1],Sheet1!D$1)</f>
      </c>
      <c r="E690" s="15">
        <f>SUMIFS(Sheet2!B:B,Sheet2!A:A,Sheet1!A690)</f>
      </c>
      <c r="F690" s="14">
        <f>B690-C690</f>
      </c>
      <c r="G690" s="12"/>
      <c r="H690" s="13"/>
    </row>
    <row x14ac:dyDescent="0.25" r="691" customHeight="1" ht="18.75" hidden="1">
      <c r="A691" s="9">
        <v>42857</v>
      </c>
      <c r="B691" s="14">
        <f>COUNTIFS(Table1[Date],Sheet1!$A691,Table1[Sentiment V1],Sheet1!B$1)</f>
      </c>
      <c r="C691" s="14">
        <f>COUNTIFS(Table1[Date],Sheet1!$A691,Table1[Sentiment V1],Sheet1!C$1)</f>
      </c>
      <c r="D691" s="14">
        <f>COUNTIFS(Table1[Date],Sheet1!$A691,Table1[Sentiment V1],Sheet1!D$1)</f>
      </c>
      <c r="E691" s="15">
        <f>SUMIFS(Sheet2!B:B,Sheet2!A:A,Sheet1!A691)</f>
      </c>
      <c r="F691" s="14">
        <f>B691-C691</f>
      </c>
      <c r="G691" s="12"/>
      <c r="H691" s="13"/>
    </row>
    <row x14ac:dyDescent="0.25" r="692" customHeight="1" ht="18.75" hidden="1">
      <c r="A692" s="9">
        <v>42825</v>
      </c>
      <c r="B692" s="14">
        <f>COUNTIFS(Table1[Date],Sheet1!$A692,Table1[Sentiment V1],Sheet1!B$1)</f>
      </c>
      <c r="C692" s="14">
        <f>COUNTIFS(Table1[Date],Sheet1!$A692,Table1[Sentiment V1],Sheet1!C$1)</f>
      </c>
      <c r="D692" s="14">
        <f>COUNTIFS(Table1[Date],Sheet1!$A692,Table1[Sentiment V1],Sheet1!D$1)</f>
      </c>
      <c r="E692" s="15">
        <f>SUMIFS(Sheet2!B:B,Sheet2!A:A,Sheet1!A692)</f>
      </c>
      <c r="F692" s="14">
        <f>B692-C692</f>
      </c>
      <c r="G692" s="12"/>
      <c r="H692" s="13"/>
    </row>
    <row x14ac:dyDescent="0.25" r="693" customHeight="1" ht="18.75" hidden="1">
      <c r="A693" s="9">
        <v>42811</v>
      </c>
      <c r="B693" s="14">
        <f>COUNTIFS(Table1[Date],Sheet1!$A693,Table1[Sentiment V1],Sheet1!B$1)</f>
      </c>
      <c r="C693" s="14">
        <f>COUNTIFS(Table1[Date],Sheet1!$A693,Table1[Sentiment V1],Sheet1!C$1)</f>
      </c>
      <c r="D693" s="14">
        <f>COUNTIFS(Table1[Date],Sheet1!$A693,Table1[Sentiment V1],Sheet1!D$1)</f>
      </c>
      <c r="E693" s="15">
        <f>SUMIFS(Sheet2!B:B,Sheet2!A:A,Sheet1!A693)</f>
      </c>
      <c r="F693" s="14">
        <f>B693-C693</f>
      </c>
      <c r="G693" s="12"/>
      <c r="H693" s="13"/>
    </row>
    <row x14ac:dyDescent="0.25" r="694" customHeight="1" ht="18.75" hidden="1">
      <c r="A694" s="9">
        <v>42796</v>
      </c>
      <c r="B694" s="14">
        <f>COUNTIFS(Table1[Date],Sheet1!$A694,Table1[Sentiment V1],Sheet1!B$1)</f>
      </c>
      <c r="C694" s="14">
        <f>COUNTIFS(Table1[Date],Sheet1!$A694,Table1[Sentiment V1],Sheet1!C$1)</f>
      </c>
      <c r="D694" s="14">
        <f>COUNTIFS(Table1[Date],Sheet1!$A694,Table1[Sentiment V1],Sheet1!D$1)</f>
      </c>
      <c r="E694" s="15">
        <f>SUMIFS(Sheet2!B:B,Sheet2!A:A,Sheet1!A694)</f>
      </c>
      <c r="F694" s="14">
        <f>B694-C694</f>
      </c>
      <c r="G694" s="12"/>
      <c r="H694" s="13"/>
    </row>
    <row x14ac:dyDescent="0.25" r="695" customHeight="1" ht="18.75" hidden="1">
      <c r="A695" s="9">
        <v>42766</v>
      </c>
      <c r="B695" s="14">
        <f>COUNTIFS(Table1[Date],Sheet1!$A695,Table1[Sentiment V1],Sheet1!B$1)</f>
      </c>
      <c r="C695" s="14">
        <f>COUNTIFS(Table1[Date],Sheet1!$A695,Table1[Sentiment V1],Sheet1!C$1)</f>
      </c>
      <c r="D695" s="14">
        <f>COUNTIFS(Table1[Date],Sheet1!$A695,Table1[Sentiment V1],Sheet1!D$1)</f>
      </c>
      <c r="E695" s="15">
        <f>SUMIFS(Sheet2!B:B,Sheet2!A:A,Sheet1!A695)</f>
      </c>
      <c r="F695" s="14">
        <f>B695-C695</f>
      </c>
      <c r="G695" s="12"/>
      <c r="H695" s="13"/>
    </row>
    <row x14ac:dyDescent="0.25" r="696" customHeight="1" ht="18.75" hidden="1">
      <c r="A696" s="9">
        <v>42756</v>
      </c>
      <c r="B696" s="14">
        <f>COUNTIFS(Table1[Date],Sheet1!$A696,Table1[Sentiment V1],Sheet1!B$1)</f>
      </c>
      <c r="C696" s="14">
        <f>COUNTIFS(Table1[Date],Sheet1!$A696,Table1[Sentiment V1],Sheet1!C$1)</f>
      </c>
      <c r="D696" s="14">
        <f>COUNTIFS(Table1[Date],Sheet1!$A696,Table1[Sentiment V1],Sheet1!D$1)</f>
      </c>
      <c r="E696" s="15">
        <f>SUMIFS(Sheet2!B:B,Sheet2!A:A,Sheet1!A696)</f>
      </c>
      <c r="F696" s="14">
        <f>B696-C696</f>
      </c>
      <c r="G696" s="12"/>
      <c r="H696" s="13"/>
    </row>
    <row x14ac:dyDescent="0.25" r="697" customHeight="1" ht="18.75" hidden="1">
      <c r="A697" s="9">
        <v>42732</v>
      </c>
      <c r="B697" s="14">
        <f>COUNTIFS(Table1[Date],Sheet1!$A697,Table1[Sentiment V1],Sheet1!B$1)</f>
      </c>
      <c r="C697" s="14">
        <f>COUNTIFS(Table1[Date],Sheet1!$A697,Table1[Sentiment V1],Sheet1!C$1)</f>
      </c>
      <c r="D697" s="14">
        <f>COUNTIFS(Table1[Date],Sheet1!$A697,Table1[Sentiment V1],Sheet1!D$1)</f>
      </c>
      <c r="E697" s="15">
        <f>SUMIFS(Sheet2!B:B,Sheet2!A:A,Sheet1!A697)</f>
      </c>
      <c r="F697" s="14">
        <f>B697-C697</f>
      </c>
      <c r="G697" s="12"/>
      <c r="H697" s="13"/>
    </row>
    <row x14ac:dyDescent="0.25" r="698" customHeight="1" ht="18.75" hidden="1">
      <c r="A698" s="9">
        <v>42682</v>
      </c>
      <c r="B698" s="14">
        <f>COUNTIFS(Table1[Date],Sheet1!$A698,Table1[Sentiment V1],Sheet1!B$1)</f>
      </c>
      <c r="C698" s="14">
        <f>COUNTIFS(Table1[Date],Sheet1!$A698,Table1[Sentiment V1],Sheet1!C$1)</f>
      </c>
      <c r="D698" s="14">
        <f>COUNTIFS(Table1[Date],Sheet1!$A698,Table1[Sentiment V1],Sheet1!D$1)</f>
      </c>
      <c r="E698" s="15">
        <f>SUMIFS(Sheet2!B:B,Sheet2!A:A,Sheet1!A698)</f>
      </c>
      <c r="F698" s="14">
        <f>B698-C698</f>
      </c>
      <c r="G698" s="12"/>
      <c r="H698" s="13"/>
    </row>
    <row x14ac:dyDescent="0.25" r="699" customHeight="1" ht="18.75" hidden="1">
      <c r="A699" s="9">
        <v>42596</v>
      </c>
      <c r="B699" s="14">
        <f>COUNTIFS(Table1[Date],Sheet1!$A699,Table1[Sentiment V1],Sheet1!B$1)</f>
      </c>
      <c r="C699" s="14">
        <f>COUNTIFS(Table1[Date],Sheet1!$A699,Table1[Sentiment V1],Sheet1!C$1)</f>
      </c>
      <c r="D699" s="14">
        <f>COUNTIFS(Table1[Date],Sheet1!$A699,Table1[Sentiment V1],Sheet1!D$1)</f>
      </c>
      <c r="E699" s="15">
        <f>SUMIFS(Sheet2!B:B,Sheet2!A:A,Sheet1!A699)</f>
      </c>
      <c r="F699" s="14">
        <f>B699-C699</f>
      </c>
      <c r="G699" s="12"/>
      <c r="H699" s="13"/>
    </row>
    <row x14ac:dyDescent="0.25" r="700" customHeight="1" ht="18.75" hidden="1">
      <c r="A700" s="9">
        <v>42535</v>
      </c>
      <c r="B700" s="14">
        <f>COUNTIFS(Table1[Date],Sheet1!$A700,Table1[Sentiment V1],Sheet1!B$1)</f>
      </c>
      <c r="C700" s="14">
        <f>COUNTIFS(Table1[Date],Sheet1!$A700,Table1[Sentiment V1],Sheet1!C$1)</f>
      </c>
      <c r="D700" s="14">
        <f>COUNTIFS(Table1[Date],Sheet1!$A700,Table1[Sentiment V1],Sheet1!D$1)</f>
      </c>
      <c r="E700" s="15">
        <f>SUMIFS(Sheet2!B:B,Sheet2!A:A,Sheet1!A700)</f>
      </c>
      <c r="F700" s="14">
        <f>B700-C700</f>
      </c>
      <c r="G700" s="12"/>
      <c r="H700" s="13"/>
    </row>
    <row x14ac:dyDescent="0.25" r="701" customHeight="1" ht="18.75" hidden="1">
      <c r="A701" s="9">
        <v>42529</v>
      </c>
      <c r="B701" s="14">
        <f>COUNTIFS(Table1[Date],Sheet1!$A701,Table1[Sentiment V1],Sheet1!B$1)</f>
      </c>
      <c r="C701" s="14">
        <f>COUNTIFS(Table1[Date],Sheet1!$A701,Table1[Sentiment V1],Sheet1!C$1)</f>
      </c>
      <c r="D701" s="14">
        <f>COUNTIFS(Table1[Date],Sheet1!$A701,Table1[Sentiment V1],Sheet1!D$1)</f>
      </c>
      <c r="E701" s="15">
        <f>SUMIFS(Sheet2!B:B,Sheet2!A:A,Sheet1!A701)</f>
      </c>
      <c r="F701" s="14">
        <f>B701-C701</f>
      </c>
      <c r="G701" s="12"/>
      <c r="H701" s="13"/>
    </row>
    <row x14ac:dyDescent="0.25" r="702" customHeight="1" ht="18.75" hidden="1">
      <c r="A702" s="9">
        <v>42524</v>
      </c>
      <c r="B702" s="14">
        <f>COUNTIFS(Table1[Date],Sheet1!$A702,Table1[Sentiment V1],Sheet1!B$1)</f>
      </c>
      <c r="C702" s="14">
        <f>COUNTIFS(Table1[Date],Sheet1!$A702,Table1[Sentiment V1],Sheet1!C$1)</f>
      </c>
      <c r="D702" s="14">
        <f>COUNTIFS(Table1[Date],Sheet1!$A702,Table1[Sentiment V1],Sheet1!D$1)</f>
      </c>
      <c r="E702" s="15">
        <f>SUMIFS(Sheet2!B:B,Sheet2!A:A,Sheet1!A702)</f>
      </c>
      <c r="F702" s="14">
        <f>B702-C702</f>
      </c>
      <c r="G702" s="12"/>
      <c r="H702" s="13"/>
    </row>
    <row x14ac:dyDescent="0.25" r="703" customHeight="1" ht="18.75" hidden="1">
      <c r="A703" s="9">
        <v>42507</v>
      </c>
      <c r="B703" s="14">
        <f>COUNTIFS(Table1[Date],Sheet1!$A703,Table1[Sentiment V1],Sheet1!B$1)</f>
      </c>
      <c r="C703" s="14">
        <f>COUNTIFS(Table1[Date],Sheet1!$A703,Table1[Sentiment V1],Sheet1!C$1)</f>
      </c>
      <c r="D703" s="14">
        <f>COUNTIFS(Table1[Date],Sheet1!$A703,Table1[Sentiment V1],Sheet1!D$1)</f>
      </c>
      <c r="E703" s="15">
        <f>SUMIFS(Sheet2!B:B,Sheet2!A:A,Sheet1!A703)</f>
      </c>
      <c r="F703" s="14">
        <f>B703-C703</f>
      </c>
      <c r="G703" s="12"/>
      <c r="H703" s="13"/>
    </row>
    <row x14ac:dyDescent="0.25" r="704" customHeight="1" ht="18.75" hidden="1">
      <c r="A704" s="9">
        <v>42446</v>
      </c>
      <c r="B704" s="14">
        <f>COUNTIFS(Table1[Date],Sheet1!$A704,Table1[Sentiment V1],Sheet1!B$1)</f>
      </c>
      <c r="C704" s="14">
        <f>COUNTIFS(Table1[Date],Sheet1!$A704,Table1[Sentiment V1],Sheet1!C$1)</f>
      </c>
      <c r="D704" s="14">
        <f>COUNTIFS(Table1[Date],Sheet1!$A704,Table1[Sentiment V1],Sheet1!D$1)</f>
      </c>
      <c r="E704" s="15">
        <f>SUMIFS(Sheet2!B:B,Sheet2!A:A,Sheet1!A704)</f>
      </c>
      <c r="F704" s="14">
        <f>B704-C704</f>
      </c>
      <c r="G704" s="12"/>
      <c r="H704" s="13"/>
    </row>
    <row x14ac:dyDescent="0.25" r="705" customHeight="1" ht="18.75" hidden="1">
      <c r="A705" s="9">
        <v>42422</v>
      </c>
      <c r="B705" s="14">
        <f>COUNTIFS(Table1[Date],Sheet1!$A705,Table1[Sentiment V1],Sheet1!B$1)</f>
      </c>
      <c r="C705" s="14">
        <f>COUNTIFS(Table1[Date],Sheet1!$A705,Table1[Sentiment V1],Sheet1!C$1)</f>
      </c>
      <c r="D705" s="14">
        <f>COUNTIFS(Table1[Date],Sheet1!$A705,Table1[Sentiment V1],Sheet1!D$1)</f>
      </c>
      <c r="E705" s="15">
        <f>SUMIFS(Sheet2!B:B,Sheet2!A:A,Sheet1!A705)</f>
      </c>
      <c r="F705" s="14">
        <f>B705-C705</f>
      </c>
      <c r="G705" s="12"/>
      <c r="H705" s="13"/>
    </row>
    <row x14ac:dyDescent="0.25" r="706" customHeight="1" ht="18.75" hidden="1">
      <c r="A706" s="9">
        <v>42389</v>
      </c>
      <c r="B706" s="14">
        <f>COUNTIFS(Table1[Date],Sheet1!$A706,Table1[Sentiment V1],Sheet1!B$1)</f>
      </c>
      <c r="C706" s="14">
        <f>COUNTIFS(Table1[Date],Sheet1!$A706,Table1[Sentiment V1],Sheet1!C$1)</f>
      </c>
      <c r="D706" s="14">
        <f>COUNTIFS(Table1[Date],Sheet1!$A706,Table1[Sentiment V1],Sheet1!D$1)</f>
      </c>
      <c r="E706" s="15">
        <f>SUMIFS(Sheet2!B:B,Sheet2!A:A,Sheet1!A706)</f>
      </c>
      <c r="F706" s="14">
        <f>B706-C706</f>
      </c>
      <c r="G706" s="12"/>
      <c r="H706" s="13"/>
    </row>
    <row x14ac:dyDescent="0.25" r="707" customHeight="1" ht="18.75" hidden="1">
      <c r="A707" s="9">
        <v>42384</v>
      </c>
      <c r="B707" s="14">
        <f>COUNTIFS(Table1[Date],Sheet1!$A707,Table1[Sentiment V1],Sheet1!B$1)</f>
      </c>
      <c r="C707" s="14">
        <f>COUNTIFS(Table1[Date],Sheet1!$A707,Table1[Sentiment V1],Sheet1!C$1)</f>
      </c>
      <c r="D707" s="14">
        <f>COUNTIFS(Table1[Date],Sheet1!$A707,Table1[Sentiment V1],Sheet1!D$1)</f>
      </c>
      <c r="E707" s="15">
        <f>SUMIFS(Sheet2!B:B,Sheet2!A:A,Sheet1!A707)</f>
      </c>
      <c r="F707" s="14">
        <f>B707-C707</f>
      </c>
      <c r="G707" s="12"/>
      <c r="H707" s="13"/>
    </row>
    <row x14ac:dyDescent="0.25" r="708" customHeight="1" ht="18.75" hidden="1">
      <c r="A708" s="9">
        <v>42382</v>
      </c>
      <c r="B708" s="14">
        <f>COUNTIFS(Table1[Date],Sheet1!$A708,Table1[Sentiment V1],Sheet1!B$1)</f>
      </c>
      <c r="C708" s="14">
        <f>COUNTIFS(Table1[Date],Sheet1!$A708,Table1[Sentiment V1],Sheet1!C$1)</f>
      </c>
      <c r="D708" s="14">
        <f>COUNTIFS(Table1[Date],Sheet1!$A708,Table1[Sentiment V1],Sheet1!D$1)</f>
      </c>
      <c r="E708" s="15">
        <f>SUMIFS(Sheet2!B:B,Sheet2!A:A,Sheet1!A708)</f>
      </c>
      <c r="F708" s="14">
        <f>B708-C708</f>
      </c>
      <c r="G708" s="12"/>
      <c r="H708" s="13"/>
    </row>
    <row x14ac:dyDescent="0.25" r="709" customHeight="1" ht="18.75" hidden="1">
      <c r="A709" s="9">
        <v>42380</v>
      </c>
      <c r="B709" s="14">
        <f>COUNTIFS(Table1[Date],Sheet1!$A709,Table1[Sentiment V1],Sheet1!B$1)</f>
      </c>
      <c r="C709" s="14">
        <f>COUNTIFS(Table1[Date],Sheet1!$A709,Table1[Sentiment V1],Sheet1!C$1)</f>
      </c>
      <c r="D709" s="14">
        <f>COUNTIFS(Table1[Date],Sheet1!$A709,Table1[Sentiment V1],Sheet1!D$1)</f>
      </c>
      <c r="E709" s="15">
        <f>SUMIFS(Sheet2!B:B,Sheet2!A:A,Sheet1!A709)</f>
      </c>
      <c r="F709" s="14">
        <f>B709-C709</f>
      </c>
      <c r="G709" s="12"/>
      <c r="H709" s="13"/>
    </row>
    <row x14ac:dyDescent="0.25" r="710" customHeight="1" ht="18.75" hidden="1">
      <c r="A710" s="9">
        <v>42375</v>
      </c>
      <c r="B710" s="14">
        <f>COUNTIFS(Table1[Date],Sheet1!$A710,Table1[Sentiment V1],Sheet1!B$1)</f>
      </c>
      <c r="C710" s="14">
        <f>COUNTIFS(Table1[Date],Sheet1!$A710,Table1[Sentiment V1],Sheet1!C$1)</f>
      </c>
      <c r="D710" s="14">
        <f>COUNTIFS(Table1[Date],Sheet1!$A710,Table1[Sentiment V1],Sheet1!D$1)</f>
      </c>
      <c r="E710" s="15">
        <f>SUMIFS(Sheet2!B:B,Sheet2!A:A,Sheet1!A710)</f>
      </c>
      <c r="F710" s="14">
        <f>B710-C710</f>
      </c>
      <c r="G710" s="12"/>
      <c r="H710" s="13"/>
    </row>
    <row x14ac:dyDescent="0.25" r="711" customHeight="1" ht="18.75" hidden="1">
      <c r="A711" s="9">
        <v>42347</v>
      </c>
      <c r="B711" s="14">
        <f>COUNTIFS(Table1[Date],Sheet1!$A711,Table1[Sentiment V1],Sheet1!B$1)</f>
      </c>
      <c r="C711" s="14">
        <f>COUNTIFS(Table1[Date],Sheet1!$A711,Table1[Sentiment V1],Sheet1!C$1)</f>
      </c>
      <c r="D711" s="14">
        <f>COUNTIFS(Table1[Date],Sheet1!$A711,Table1[Sentiment V1],Sheet1!D$1)</f>
      </c>
      <c r="E711" s="15">
        <f>SUMIFS(Sheet2!B:B,Sheet2!A:A,Sheet1!A711)</f>
      </c>
      <c r="F711" s="14">
        <f>B711-C711</f>
      </c>
      <c r="G711" s="12"/>
      <c r="H711" s="13"/>
    </row>
    <row x14ac:dyDescent="0.25" r="712" customHeight="1" ht="18.75" hidden="1">
      <c r="A712" s="9">
        <v>42328</v>
      </c>
      <c r="B712" s="14">
        <f>COUNTIFS(Table1[Date],Sheet1!$A712,Table1[Sentiment V1],Sheet1!B$1)</f>
      </c>
      <c r="C712" s="14">
        <f>COUNTIFS(Table1[Date],Sheet1!$A712,Table1[Sentiment V1],Sheet1!C$1)</f>
      </c>
      <c r="D712" s="14">
        <f>COUNTIFS(Table1[Date],Sheet1!$A712,Table1[Sentiment V1],Sheet1!D$1)</f>
      </c>
      <c r="E712" s="15">
        <f>SUMIFS(Sheet2!B:B,Sheet2!A:A,Sheet1!A712)</f>
      </c>
      <c r="F712" s="14">
        <f>B712-C712</f>
      </c>
      <c r="G712" s="12"/>
      <c r="H712" s="13"/>
    </row>
    <row x14ac:dyDescent="0.25" r="713" customHeight="1" ht="18.75" hidden="1">
      <c r="A713" s="9">
        <v>42236</v>
      </c>
      <c r="B713" s="14">
        <f>COUNTIFS(Table1[Date],Sheet1!$A713,Table1[Sentiment V1],Sheet1!B$1)</f>
      </c>
      <c r="C713" s="14">
        <f>COUNTIFS(Table1[Date],Sheet1!$A713,Table1[Sentiment V1],Sheet1!C$1)</f>
      </c>
      <c r="D713" s="14">
        <f>COUNTIFS(Table1[Date],Sheet1!$A713,Table1[Sentiment V1],Sheet1!D$1)</f>
      </c>
      <c r="E713" s="15">
        <f>SUMIFS(Sheet2!B:B,Sheet2!A:A,Sheet1!A713)</f>
      </c>
      <c r="F713" s="14">
        <f>B713-C713</f>
      </c>
      <c r="G713" s="12"/>
      <c r="H713" s="13"/>
    </row>
    <row x14ac:dyDescent="0.25" r="714" customHeight="1" ht="18.75" hidden="1">
      <c r="A714" s="9">
        <v>42222</v>
      </c>
      <c r="B714" s="14">
        <f>COUNTIFS(Table1[Date],Sheet1!$A714,Table1[Sentiment V1],Sheet1!B$1)</f>
      </c>
      <c r="C714" s="14">
        <f>COUNTIFS(Table1[Date],Sheet1!$A714,Table1[Sentiment V1],Sheet1!C$1)</f>
      </c>
      <c r="D714" s="14">
        <f>COUNTIFS(Table1[Date],Sheet1!$A714,Table1[Sentiment V1],Sheet1!D$1)</f>
      </c>
      <c r="E714" s="15">
        <f>SUMIFS(Sheet2!B:B,Sheet2!A:A,Sheet1!A714)</f>
      </c>
      <c r="F714" s="14">
        <f>B714-C714</f>
      </c>
      <c r="G714" s="12"/>
      <c r="H714" s="13"/>
    </row>
    <row x14ac:dyDescent="0.25" r="715" customHeight="1" ht="18.75" hidden="1">
      <c r="A715" s="9">
        <v>42212</v>
      </c>
      <c r="B715" s="14">
        <f>COUNTIFS(Table1[Date],Sheet1!$A715,Table1[Sentiment V1],Sheet1!B$1)</f>
      </c>
      <c r="C715" s="14">
        <f>COUNTIFS(Table1[Date],Sheet1!$A715,Table1[Sentiment V1],Sheet1!C$1)</f>
      </c>
      <c r="D715" s="14">
        <f>COUNTIFS(Table1[Date],Sheet1!$A715,Table1[Sentiment V1],Sheet1!D$1)</f>
      </c>
      <c r="E715" s="15">
        <f>SUMIFS(Sheet2!B:B,Sheet2!A:A,Sheet1!A715)</f>
      </c>
      <c r="F715" s="14">
        <f>B715-C715</f>
      </c>
      <c r="G715" s="12"/>
      <c r="H715" s="13"/>
    </row>
    <row x14ac:dyDescent="0.25" r="716" customHeight="1" ht="18.75" hidden="1">
      <c r="A716" s="9">
        <v>42191</v>
      </c>
      <c r="B716" s="14">
        <f>COUNTIFS(Table1[Date],Sheet1!$A716,Table1[Sentiment V1],Sheet1!B$1)</f>
      </c>
      <c r="C716" s="14">
        <f>COUNTIFS(Table1[Date],Sheet1!$A716,Table1[Sentiment V1],Sheet1!C$1)</f>
      </c>
      <c r="D716" s="14">
        <f>COUNTIFS(Table1[Date],Sheet1!$A716,Table1[Sentiment V1],Sheet1!D$1)</f>
      </c>
      <c r="E716" s="15">
        <f>SUMIFS(Sheet2!B:B,Sheet2!A:A,Sheet1!A716)</f>
      </c>
      <c r="F716" s="14">
        <f>B716-C716</f>
      </c>
      <c r="G716" s="12"/>
      <c r="H716" s="13"/>
    </row>
    <row x14ac:dyDescent="0.25" r="717" customHeight="1" ht="18.75" hidden="1">
      <c r="A717" s="9">
        <v>42167</v>
      </c>
      <c r="B717" s="14">
        <f>COUNTIFS(Table1[Date],Sheet1!$A717,Table1[Sentiment V1],Sheet1!B$1)</f>
      </c>
      <c r="C717" s="14">
        <f>COUNTIFS(Table1[Date],Sheet1!$A717,Table1[Sentiment V1],Sheet1!C$1)</f>
      </c>
      <c r="D717" s="14">
        <f>COUNTIFS(Table1[Date],Sheet1!$A717,Table1[Sentiment V1],Sheet1!D$1)</f>
      </c>
      <c r="E717" s="15">
        <f>SUMIFS(Sheet2!B:B,Sheet2!A:A,Sheet1!A717)</f>
      </c>
      <c r="F717" s="14">
        <f>B717-C717</f>
      </c>
      <c r="G717" s="12"/>
      <c r="H717" s="13"/>
    </row>
    <row x14ac:dyDescent="0.25" r="718" customHeight="1" ht="18.75" hidden="1">
      <c r="A718" s="9">
        <v>42141</v>
      </c>
      <c r="B718" s="14">
        <f>COUNTIFS(Table1[Date],Sheet1!$A718,Table1[Sentiment V1],Sheet1!B$1)</f>
      </c>
      <c r="C718" s="14">
        <f>COUNTIFS(Table1[Date],Sheet1!$A718,Table1[Sentiment V1],Sheet1!C$1)</f>
      </c>
      <c r="D718" s="14">
        <f>COUNTIFS(Table1[Date],Sheet1!$A718,Table1[Sentiment V1],Sheet1!D$1)</f>
      </c>
      <c r="E718" s="15">
        <f>SUMIFS(Sheet2!B:B,Sheet2!A:A,Sheet1!A718)</f>
      </c>
      <c r="F718" s="14">
        <f>B718-C718</f>
      </c>
      <c r="G718" s="12"/>
      <c r="H718" s="13"/>
    </row>
    <row x14ac:dyDescent="0.25" r="719" customHeight="1" ht="18.75" hidden="1">
      <c r="A719" s="9">
        <v>42139</v>
      </c>
      <c r="B719" s="14">
        <f>COUNTIFS(Table1[Date],Sheet1!$A719,Table1[Sentiment V1],Sheet1!B$1)</f>
      </c>
      <c r="C719" s="14">
        <f>COUNTIFS(Table1[Date],Sheet1!$A719,Table1[Sentiment V1],Sheet1!C$1)</f>
      </c>
      <c r="D719" s="14">
        <f>COUNTIFS(Table1[Date],Sheet1!$A719,Table1[Sentiment V1],Sheet1!D$1)</f>
      </c>
      <c r="E719" s="15">
        <f>SUMIFS(Sheet2!B:B,Sheet2!A:A,Sheet1!A719)</f>
      </c>
      <c r="F719" s="14">
        <f>B719-C719</f>
      </c>
      <c r="G719" s="12"/>
      <c r="H719" s="13"/>
    </row>
    <row x14ac:dyDescent="0.25" r="720" customHeight="1" ht="18.75" hidden="1">
      <c r="A720" s="9">
        <v>42123</v>
      </c>
      <c r="B720" s="14">
        <f>COUNTIFS(Table1[Date],Sheet1!$A720,Table1[Sentiment V1],Sheet1!B$1)</f>
      </c>
      <c r="C720" s="14">
        <f>COUNTIFS(Table1[Date],Sheet1!$A720,Table1[Sentiment V1],Sheet1!C$1)</f>
      </c>
      <c r="D720" s="14">
        <f>COUNTIFS(Table1[Date],Sheet1!$A720,Table1[Sentiment V1],Sheet1!D$1)</f>
      </c>
      <c r="E720" s="15">
        <f>SUMIFS(Sheet2!B:B,Sheet2!A:A,Sheet1!A720)</f>
      </c>
      <c r="F720" s="14">
        <f>B720-C720</f>
      </c>
      <c r="G720" s="12"/>
      <c r="H720" s="13"/>
    </row>
    <row x14ac:dyDescent="0.25" r="721" customHeight="1" ht="18.75" hidden="1">
      <c r="A721" s="9">
        <v>42122</v>
      </c>
      <c r="B721" s="14">
        <f>COUNTIFS(Table1[Date],Sheet1!$A721,Table1[Sentiment V1],Sheet1!B$1)</f>
      </c>
      <c r="C721" s="14">
        <f>COUNTIFS(Table1[Date],Sheet1!$A721,Table1[Sentiment V1],Sheet1!C$1)</f>
      </c>
      <c r="D721" s="14">
        <f>COUNTIFS(Table1[Date],Sheet1!$A721,Table1[Sentiment V1],Sheet1!D$1)</f>
      </c>
      <c r="E721" s="15">
        <f>SUMIFS(Sheet2!B:B,Sheet2!A:A,Sheet1!A721)</f>
      </c>
      <c r="F721" s="14">
        <f>B721-C721</f>
      </c>
      <c r="G721" s="12"/>
      <c r="H721" s="13"/>
    </row>
    <row x14ac:dyDescent="0.25" r="722" customHeight="1" ht="18.75" hidden="1">
      <c r="A722" s="9">
        <v>42082</v>
      </c>
      <c r="B722" s="14">
        <f>COUNTIFS(Table1[Date],Sheet1!$A722,Table1[Sentiment V1],Sheet1!B$1)</f>
      </c>
      <c r="C722" s="14">
        <f>COUNTIFS(Table1[Date],Sheet1!$A722,Table1[Sentiment V1],Sheet1!C$1)</f>
      </c>
      <c r="D722" s="14">
        <f>COUNTIFS(Table1[Date],Sheet1!$A722,Table1[Sentiment V1],Sheet1!D$1)</f>
      </c>
      <c r="E722" s="15">
        <f>SUMIFS(Sheet2!B:B,Sheet2!A:A,Sheet1!A722)</f>
      </c>
      <c r="F722" s="14">
        <f>B722-C722</f>
      </c>
      <c r="G722" s="12"/>
      <c r="H722" s="13"/>
    </row>
    <row x14ac:dyDescent="0.25" r="723" customHeight="1" ht="18.75" hidden="1">
      <c r="A723" s="9">
        <v>42072</v>
      </c>
      <c r="B723" s="14">
        <f>COUNTIFS(Table1[Date],Sheet1!$A723,Table1[Sentiment V1],Sheet1!B$1)</f>
      </c>
      <c r="C723" s="14">
        <f>COUNTIFS(Table1[Date],Sheet1!$A723,Table1[Sentiment V1],Sheet1!C$1)</f>
      </c>
      <c r="D723" s="14">
        <f>COUNTIFS(Table1[Date],Sheet1!$A723,Table1[Sentiment V1],Sheet1!D$1)</f>
      </c>
      <c r="E723" s="15">
        <f>SUMIFS(Sheet2!B:B,Sheet2!A:A,Sheet1!A723)</f>
      </c>
      <c r="F723" s="14">
        <f>B723-C723</f>
      </c>
      <c r="G723" s="12"/>
      <c r="H723" s="13"/>
    </row>
    <row x14ac:dyDescent="0.25" r="724" customHeight="1" ht="18.75" hidden="1">
      <c r="A724" s="9">
        <v>42066</v>
      </c>
      <c r="B724" s="14">
        <f>COUNTIFS(Table1[Date],Sheet1!$A724,Table1[Sentiment V1],Sheet1!B$1)</f>
      </c>
      <c r="C724" s="14">
        <f>COUNTIFS(Table1[Date],Sheet1!$A724,Table1[Sentiment V1],Sheet1!C$1)</f>
      </c>
      <c r="D724" s="14">
        <f>COUNTIFS(Table1[Date],Sheet1!$A724,Table1[Sentiment V1],Sheet1!D$1)</f>
      </c>
      <c r="E724" s="15">
        <f>SUMIFS(Sheet2!B:B,Sheet2!A:A,Sheet1!A724)</f>
      </c>
      <c r="F724" s="14">
        <f>B724-C724</f>
      </c>
      <c r="G724" s="12"/>
      <c r="H724" s="13"/>
    </row>
    <row x14ac:dyDescent="0.25" r="725" customHeight="1" ht="18.75" hidden="1">
      <c r="A725" s="9">
        <v>42019</v>
      </c>
      <c r="B725" s="14">
        <f>COUNTIFS(Table1[Date],Sheet1!$A725,Table1[Sentiment V1],Sheet1!B$1)</f>
      </c>
      <c r="C725" s="14">
        <f>COUNTIFS(Table1[Date],Sheet1!$A725,Table1[Sentiment V1],Sheet1!C$1)</f>
      </c>
      <c r="D725" s="14">
        <f>COUNTIFS(Table1[Date],Sheet1!$A725,Table1[Sentiment V1],Sheet1!D$1)</f>
      </c>
      <c r="E725" s="15">
        <f>SUMIFS(Sheet2!B:B,Sheet2!A:A,Sheet1!A725)</f>
      </c>
      <c r="F725" s="14">
        <f>B725-C725</f>
      </c>
      <c r="G725" s="12"/>
      <c r="H725" s="13"/>
    </row>
    <row x14ac:dyDescent="0.25" r="726" customHeight="1" ht="18.75" hidden="1">
      <c r="A726" s="9">
        <v>42013</v>
      </c>
      <c r="B726" s="14">
        <f>COUNTIFS(Table1[Date],Sheet1!$A726,Table1[Sentiment V1],Sheet1!B$1)</f>
      </c>
      <c r="C726" s="14">
        <f>COUNTIFS(Table1[Date],Sheet1!$A726,Table1[Sentiment V1],Sheet1!C$1)</f>
      </c>
      <c r="D726" s="14">
        <f>COUNTIFS(Table1[Date],Sheet1!$A726,Table1[Sentiment V1],Sheet1!D$1)</f>
      </c>
      <c r="E726" s="15">
        <f>SUMIFS(Sheet2!B:B,Sheet2!A:A,Sheet1!A726)</f>
      </c>
      <c r="F726" s="14">
        <f>B726-C726</f>
      </c>
      <c r="G726" s="12"/>
      <c r="H726" s="13"/>
    </row>
    <row x14ac:dyDescent="0.25" r="727" customHeight="1" ht="18.75" hidden="1">
      <c r="A727" s="9">
        <v>42009</v>
      </c>
      <c r="B727" s="14">
        <f>COUNTIFS(Table1[Date],Sheet1!$A727,Table1[Sentiment V1],Sheet1!B$1)</f>
      </c>
      <c r="C727" s="14">
        <f>COUNTIFS(Table1[Date],Sheet1!$A727,Table1[Sentiment V1],Sheet1!C$1)</f>
      </c>
      <c r="D727" s="14">
        <f>COUNTIFS(Table1[Date],Sheet1!$A727,Table1[Sentiment V1],Sheet1!D$1)</f>
      </c>
      <c r="E727" s="15">
        <f>SUMIFS(Sheet2!B:B,Sheet2!A:A,Sheet1!A727)</f>
      </c>
      <c r="F727" s="14">
        <f>B727-C727</f>
      </c>
      <c r="G727" s="12"/>
      <c r="H727" s="13"/>
    </row>
    <row x14ac:dyDescent="0.25" r="728" customHeight="1" ht="18.75" hidden="1">
      <c r="A728" s="9">
        <v>41919</v>
      </c>
      <c r="B728" s="14">
        <f>COUNTIFS(Table1[Date],Sheet1!$A728,Table1[Sentiment V1],Sheet1!B$1)</f>
      </c>
      <c r="C728" s="14">
        <f>COUNTIFS(Table1[Date],Sheet1!$A728,Table1[Sentiment V1],Sheet1!C$1)</f>
      </c>
      <c r="D728" s="14">
        <f>COUNTIFS(Table1[Date],Sheet1!$A728,Table1[Sentiment V1],Sheet1!D$1)</f>
      </c>
      <c r="E728" s="15">
        <f>SUMIFS(Sheet2!B:B,Sheet2!A:A,Sheet1!A728)</f>
      </c>
      <c r="F728" s="14">
        <f>B728-C728</f>
      </c>
      <c r="G728" s="12"/>
      <c r="H728" s="13"/>
    </row>
    <row x14ac:dyDescent="0.25" r="729" customHeight="1" ht="18.75" hidden="1">
      <c r="A729" s="9">
        <v>41718</v>
      </c>
      <c r="B729" s="14">
        <f>COUNTIFS(Table1[Date],Sheet1!$A729,Table1[Sentiment V1],Sheet1!B$1)</f>
      </c>
      <c r="C729" s="14">
        <f>COUNTIFS(Table1[Date],Sheet1!$A729,Table1[Sentiment V1],Sheet1!C$1)</f>
      </c>
      <c r="D729" s="14">
        <f>COUNTIFS(Table1[Date],Sheet1!$A729,Table1[Sentiment V1],Sheet1!D$1)</f>
      </c>
      <c r="E729" s="15">
        <f>SUMIFS(Sheet2!B:B,Sheet2!A:A,Sheet1!A729)</f>
      </c>
      <c r="F729" s="14">
        <f>B729-C729</f>
      </c>
      <c r="G729" s="12"/>
      <c r="H729" s="13"/>
    </row>
    <row x14ac:dyDescent="0.25" r="730" customHeight="1" ht="18.75" hidden="1">
      <c r="A730" s="9">
        <v>41572</v>
      </c>
      <c r="B730" s="14">
        <f>COUNTIFS(Table1[Date],Sheet1!$A730,Table1[Sentiment V1],Sheet1!B$1)</f>
      </c>
      <c r="C730" s="14">
        <f>COUNTIFS(Table1[Date],Sheet1!$A730,Table1[Sentiment V1],Sheet1!C$1)</f>
      </c>
      <c r="D730" s="14">
        <f>COUNTIFS(Table1[Date],Sheet1!$A730,Table1[Sentiment V1],Sheet1!D$1)</f>
      </c>
      <c r="E730" s="15">
        <f>SUMIFS(Sheet2!B:B,Sheet2!A:A,Sheet1!A730)</f>
      </c>
      <c r="F730" s="14">
        <f>B730-C730</f>
      </c>
      <c r="G730" s="12"/>
      <c r="H730" s="13"/>
    </row>
    <row x14ac:dyDescent="0.25" r="731" customHeight="1" ht="18.75" hidden="1">
      <c r="A731" s="9">
        <v>41451</v>
      </c>
      <c r="B731" s="14">
        <f>COUNTIFS(Table1[Date],Sheet1!$A731,Table1[Sentiment V1],Sheet1!B$1)</f>
      </c>
      <c r="C731" s="14">
        <f>COUNTIFS(Table1[Date],Sheet1!$A731,Table1[Sentiment V1],Sheet1!C$1)</f>
      </c>
      <c r="D731" s="14">
        <f>COUNTIFS(Table1[Date],Sheet1!$A731,Table1[Sentiment V1],Sheet1!D$1)</f>
      </c>
      <c r="E731" s="15">
        <f>SUMIFS(Sheet2!B:B,Sheet2!A:A,Sheet1!A731)</f>
      </c>
      <c r="F731" s="14">
        <f>B731-C731</f>
      </c>
      <c r="G731" s="12"/>
      <c r="H731" s="13"/>
    </row>
    <row x14ac:dyDescent="0.25" r="732" customHeight="1" ht="18.75" hidden="1">
      <c r="A732" s="9">
        <v>41248</v>
      </c>
      <c r="B732" s="14">
        <f>COUNTIFS(Table1[Date],Sheet1!$A732,Table1[Sentiment V1],Sheet1!B$1)</f>
      </c>
      <c r="C732" s="14">
        <f>COUNTIFS(Table1[Date],Sheet1!$A732,Table1[Sentiment V1],Sheet1!C$1)</f>
      </c>
      <c r="D732" s="14">
        <f>COUNTIFS(Table1[Date],Sheet1!$A732,Table1[Sentiment V1],Sheet1!D$1)</f>
      </c>
      <c r="E732" s="15">
        <f>SUMIFS(Sheet2!B:B,Sheet2!A:A,Sheet1!A732)</f>
      </c>
      <c r="F732" s="14">
        <f>B732-C732</f>
      </c>
      <c r="G732" s="12"/>
      <c r="H732" s="13"/>
    </row>
    <row x14ac:dyDescent="0.25" r="733" customHeight="1" ht="18.75" hidden="1">
      <c r="A733" s="9">
        <v>41169</v>
      </c>
      <c r="B733" s="14">
        <f>COUNTIFS(Table1[Date],Sheet1!$A733,Table1[Sentiment V1],Sheet1!B$1)</f>
      </c>
      <c r="C733" s="14">
        <f>COUNTIFS(Table1[Date],Sheet1!$A733,Table1[Sentiment V1],Sheet1!C$1)</f>
      </c>
      <c r="D733" s="14">
        <f>COUNTIFS(Table1[Date],Sheet1!$A733,Table1[Sentiment V1],Sheet1!D$1)</f>
      </c>
      <c r="E733" s="15">
        <f>SUMIFS(Sheet2!B:B,Sheet2!A:A,Sheet1!A733)</f>
      </c>
      <c r="F733" s="14">
        <f>B733-C733</f>
      </c>
      <c r="G733" s="12"/>
      <c r="H733" s="13"/>
    </row>
    <row x14ac:dyDescent="0.25" r="734" customHeight="1" ht="18.75" hidden="1">
      <c r="A734" s="9">
        <v>41140</v>
      </c>
      <c r="B734" s="14">
        <f>COUNTIFS(Table1[Date],Sheet1!$A734,Table1[Sentiment V1],Sheet1!B$1)</f>
      </c>
      <c r="C734" s="14">
        <f>COUNTIFS(Table1[Date],Sheet1!$A734,Table1[Sentiment V1],Sheet1!C$1)</f>
      </c>
      <c r="D734" s="14">
        <f>COUNTIFS(Table1[Date],Sheet1!$A734,Table1[Sentiment V1],Sheet1!D$1)</f>
      </c>
      <c r="E734" s="15">
        <f>SUMIFS(Sheet2!B:B,Sheet2!A:A,Sheet1!A734)</f>
      </c>
      <c r="F734" s="14">
        <f>B734-C734</f>
      </c>
      <c r="G734" s="12"/>
      <c r="H734" s="13"/>
    </row>
    <row x14ac:dyDescent="0.25" r="735" customHeight="1" ht="18.75" hidden="1">
      <c r="A735" s="9">
        <v>41087</v>
      </c>
      <c r="B735" s="14">
        <f>COUNTIFS(Table1[Date],Sheet1!$A735,Table1[Sentiment V1],Sheet1!B$1)</f>
      </c>
      <c r="C735" s="14">
        <f>COUNTIFS(Table1[Date],Sheet1!$A735,Table1[Sentiment V1],Sheet1!C$1)</f>
      </c>
      <c r="D735" s="14">
        <f>COUNTIFS(Table1[Date],Sheet1!$A735,Table1[Sentiment V1],Sheet1!D$1)</f>
      </c>
      <c r="E735" s="15">
        <f>SUMIFS(Sheet2!B:B,Sheet2!A:A,Sheet1!A735)</f>
      </c>
      <c r="F735" s="14">
        <f>B735-C735</f>
      </c>
      <c r="G735" s="12"/>
      <c r="H735" s="13"/>
    </row>
    <row x14ac:dyDescent="0.25" r="736" customHeight="1" ht="18.75" hidden="1">
      <c r="A736" s="9">
        <v>41033</v>
      </c>
      <c r="B736" s="14">
        <f>COUNTIFS(Table1[Date],Sheet1!$A736,Table1[Sentiment V1],Sheet1!B$1)</f>
      </c>
      <c r="C736" s="14">
        <f>COUNTIFS(Table1[Date],Sheet1!$A736,Table1[Sentiment V1],Sheet1!C$1)</f>
      </c>
      <c r="D736" s="14">
        <f>COUNTIFS(Table1[Date],Sheet1!$A736,Table1[Sentiment V1],Sheet1!D$1)</f>
      </c>
      <c r="E736" s="15">
        <f>SUMIFS(Sheet2!B:B,Sheet2!A:A,Sheet1!A736)</f>
      </c>
      <c r="F736" s="14">
        <f>B736-C736</f>
      </c>
      <c r="G736" s="12"/>
      <c r="H736" s="13"/>
    </row>
    <row x14ac:dyDescent="0.25" r="737" customHeight="1" ht="18.75" hidden="1">
      <c r="A737" s="9">
        <v>40962</v>
      </c>
      <c r="B737" s="14">
        <f>COUNTIFS(Table1[Date],Sheet1!$A737,Table1[Sentiment V1],Sheet1!B$1)</f>
      </c>
      <c r="C737" s="14">
        <f>COUNTIFS(Table1[Date],Sheet1!$A737,Table1[Sentiment V1],Sheet1!C$1)</f>
      </c>
      <c r="D737" s="14">
        <f>COUNTIFS(Table1[Date],Sheet1!$A737,Table1[Sentiment V1],Sheet1!D$1)</f>
      </c>
      <c r="E737" s="15">
        <f>SUMIFS(Sheet2!B:B,Sheet2!A:A,Sheet1!A737)</f>
      </c>
      <c r="F737" s="14">
        <f>B737-C737</f>
      </c>
      <c r="G737" s="12"/>
      <c r="H737" s="13"/>
    </row>
    <row x14ac:dyDescent="0.25" r="738" customHeight="1" ht="18.75" hidden="1">
      <c r="A738" s="9">
        <v>40872</v>
      </c>
      <c r="B738" s="14">
        <f>COUNTIFS(Table1[Date],Sheet1!$A738,Table1[Sentiment V1],Sheet1!B$1)</f>
      </c>
      <c r="C738" s="14">
        <f>COUNTIFS(Table1[Date],Sheet1!$A738,Table1[Sentiment V1],Sheet1!C$1)</f>
      </c>
      <c r="D738" s="14">
        <f>COUNTIFS(Table1[Date],Sheet1!$A738,Table1[Sentiment V1],Sheet1!D$1)</f>
      </c>
      <c r="E738" s="15">
        <f>SUMIFS(Sheet2!B:B,Sheet2!A:A,Sheet1!A738)</f>
      </c>
      <c r="F738" s="14">
        <f>B738-C738</f>
      </c>
      <c r="G738" s="12"/>
      <c r="H738" s="13"/>
    </row>
    <row x14ac:dyDescent="0.25" r="739" customHeight="1" ht="18.75" hidden="1">
      <c r="A739" s="9">
        <v>40803</v>
      </c>
      <c r="B739" s="14">
        <f>COUNTIFS(Table1[Date],Sheet1!$A739,Table1[Sentiment V1],Sheet1!B$1)</f>
      </c>
      <c r="C739" s="14">
        <f>COUNTIFS(Table1[Date],Sheet1!$A739,Table1[Sentiment V1],Sheet1!C$1)</f>
      </c>
      <c r="D739" s="14">
        <f>COUNTIFS(Table1[Date],Sheet1!$A739,Table1[Sentiment V1],Sheet1!D$1)</f>
      </c>
      <c r="E739" s="15">
        <f>SUMIFS(Sheet2!B:B,Sheet2!A:A,Sheet1!A739)</f>
      </c>
      <c r="F739" s="14">
        <f>B739-C739</f>
      </c>
      <c r="G739" s="12"/>
      <c r="H739" s="13"/>
    </row>
    <row x14ac:dyDescent="0.25" r="740" customHeight="1" ht="18.75" hidden="1">
      <c r="A740" s="9">
        <v>40739</v>
      </c>
      <c r="B740" s="14">
        <f>COUNTIFS(Table1[Date],Sheet1!$A740,Table1[Sentiment V1],Sheet1!B$1)</f>
      </c>
      <c r="C740" s="14">
        <f>COUNTIFS(Table1[Date],Sheet1!$A740,Table1[Sentiment V1],Sheet1!C$1)</f>
      </c>
      <c r="D740" s="14">
        <f>COUNTIFS(Table1[Date],Sheet1!$A740,Table1[Sentiment V1],Sheet1!D$1)</f>
      </c>
      <c r="E740" s="15">
        <f>SUMIFS(Sheet2!B:B,Sheet2!A:A,Sheet1!A740)</f>
      </c>
      <c r="F740" s="14">
        <f>B740-C740</f>
      </c>
      <c r="G740" s="12"/>
      <c r="H740" s="13"/>
    </row>
    <row x14ac:dyDescent="0.25" r="741" customHeight="1" ht="18.75" hidden="1">
      <c r="A741" s="9">
        <v>40620</v>
      </c>
      <c r="B741" s="14">
        <f>COUNTIFS(Table1[Date],Sheet1!$A741,Table1[Sentiment V1],Sheet1!B$1)</f>
      </c>
      <c r="C741" s="14">
        <f>COUNTIFS(Table1[Date],Sheet1!$A741,Table1[Sentiment V1],Sheet1!C$1)</f>
      </c>
      <c r="D741" s="14">
        <f>COUNTIFS(Table1[Date],Sheet1!$A741,Table1[Sentiment V1],Sheet1!D$1)</f>
      </c>
      <c r="E741" s="15">
        <f>SUMIFS(Sheet2!B:B,Sheet2!A:A,Sheet1!A741)</f>
      </c>
      <c r="F741" s="14">
        <f>B741-C741</f>
      </c>
      <c r="G741" s="12"/>
      <c r="H741" s="13"/>
    </row>
    <row x14ac:dyDescent="0.25" r="742" customHeight="1" ht="18.75" hidden="1">
      <c r="A742" s="9">
        <v>40605</v>
      </c>
      <c r="B742" s="14">
        <f>COUNTIFS(Table1[Date],Sheet1!$A742,Table1[Sentiment V1],Sheet1!B$1)</f>
      </c>
      <c r="C742" s="14">
        <f>COUNTIFS(Table1[Date],Sheet1!$A742,Table1[Sentiment V1],Sheet1!C$1)</f>
      </c>
      <c r="D742" s="14">
        <f>COUNTIFS(Table1[Date],Sheet1!$A742,Table1[Sentiment V1],Sheet1!D$1)</f>
      </c>
      <c r="E742" s="15">
        <f>SUMIFS(Sheet2!B:B,Sheet2!A:A,Sheet1!A742)</f>
      </c>
      <c r="F742" s="14">
        <f>B742-C742</f>
      </c>
      <c r="G742" s="12"/>
      <c r="H742" s="13"/>
    </row>
    <row x14ac:dyDescent="0.25" r="743" customHeight="1" ht="18.75" hidden="1">
      <c r="A743" s="9">
        <v>40429</v>
      </c>
      <c r="B743" s="14">
        <f>COUNTIFS(Table1[Date],Sheet1!$A743,Table1[Sentiment V1],Sheet1!B$1)</f>
      </c>
      <c r="C743" s="14">
        <f>COUNTIFS(Table1[Date],Sheet1!$A743,Table1[Sentiment V1],Sheet1!C$1)</f>
      </c>
      <c r="D743" s="14">
        <f>COUNTIFS(Table1[Date],Sheet1!$A743,Table1[Sentiment V1],Sheet1!D$1)</f>
      </c>
      <c r="E743" s="15">
        <f>SUMIFS(Sheet2!B:B,Sheet2!A:A,Sheet1!A743)</f>
      </c>
      <c r="F743" s="14">
        <f>B743-C743</f>
      </c>
      <c r="G743" s="12"/>
      <c r="H743" s="13"/>
    </row>
    <row x14ac:dyDescent="0.25" r="744" customHeight="1" ht="18.75" hidden="1">
      <c r="A744" s="9">
        <v>40428</v>
      </c>
      <c r="B744" s="14">
        <f>COUNTIFS(Table1[Date],Sheet1!$A744,Table1[Sentiment V1],Sheet1!B$1)</f>
      </c>
      <c r="C744" s="14">
        <f>COUNTIFS(Table1[Date],Sheet1!$A744,Table1[Sentiment V1],Sheet1!C$1)</f>
      </c>
      <c r="D744" s="14">
        <f>COUNTIFS(Table1[Date],Sheet1!$A744,Table1[Sentiment V1],Sheet1!D$1)</f>
      </c>
      <c r="E744" s="15">
        <f>SUMIFS(Sheet2!B:B,Sheet2!A:A,Sheet1!A744)</f>
      </c>
      <c r="F744" s="14">
        <f>B744-C744</f>
      </c>
      <c r="G744" s="12"/>
      <c r="H744" s="13"/>
    </row>
    <row x14ac:dyDescent="0.25" r="745" customHeight="1" ht="18.75" hidden="1">
      <c r="A745" s="9">
        <v>40425</v>
      </c>
      <c r="B745" s="14">
        <f>COUNTIFS(Table1[Date],Sheet1!$A745,Table1[Sentiment V1],Sheet1!B$1)</f>
      </c>
      <c r="C745" s="14">
        <f>COUNTIFS(Table1[Date],Sheet1!$A745,Table1[Sentiment V1],Sheet1!C$1)</f>
      </c>
      <c r="D745" s="14">
        <f>COUNTIFS(Table1[Date],Sheet1!$A745,Table1[Sentiment V1],Sheet1!D$1)</f>
      </c>
      <c r="E745" s="15">
        <f>SUMIFS(Sheet2!B:B,Sheet2!A:A,Sheet1!A745)</f>
      </c>
      <c r="F745" s="14">
        <f>B745-C745</f>
      </c>
      <c r="G745" s="12"/>
      <c r="H745" s="13"/>
    </row>
    <row x14ac:dyDescent="0.25" r="746" customHeight="1" ht="18.75" hidden="1">
      <c r="A746" s="9">
        <v>40296</v>
      </c>
      <c r="B746" s="14">
        <f>COUNTIFS(Table1[Date],Sheet1!$A746,Table1[Sentiment V1],Sheet1!B$1)</f>
      </c>
      <c r="C746" s="14">
        <f>COUNTIFS(Table1[Date],Sheet1!$A746,Table1[Sentiment V1],Sheet1!C$1)</f>
      </c>
      <c r="D746" s="14">
        <f>COUNTIFS(Table1[Date],Sheet1!$A746,Table1[Sentiment V1],Sheet1!D$1)</f>
      </c>
      <c r="E746" s="15">
        <f>SUMIFS(Sheet2!B:B,Sheet2!A:A,Sheet1!A746)</f>
      </c>
      <c r="F746" s="14">
        <f>B746-C746</f>
      </c>
      <c r="G746" s="12"/>
      <c r="H746" s="13"/>
    </row>
    <row x14ac:dyDescent="0.25" r="747" customHeight="1" ht="18.75" hidden="1">
      <c r="A747" s="9">
        <v>40154</v>
      </c>
      <c r="B747" s="14">
        <f>COUNTIFS(Table1[Date],Sheet1!$A747,Table1[Sentiment V1],Sheet1!B$1)</f>
      </c>
      <c r="C747" s="14">
        <f>COUNTIFS(Table1[Date],Sheet1!$A747,Table1[Sentiment V1],Sheet1!C$1)</f>
      </c>
      <c r="D747" s="14">
        <f>COUNTIFS(Table1[Date],Sheet1!$A747,Table1[Sentiment V1],Sheet1!D$1)</f>
      </c>
      <c r="E747" s="15">
        <f>SUMIFS(Sheet2!B:B,Sheet2!A:A,Sheet1!A747)</f>
      </c>
      <c r="F747" s="14">
        <f>B747-C747</f>
      </c>
      <c r="G747" s="12"/>
      <c r="H747" s="13"/>
    </row>
    <row x14ac:dyDescent="0.25" r="748" customHeight="1" ht="18.75" hidden="1">
      <c r="A748" s="9">
        <v>40120</v>
      </c>
      <c r="B748" s="14">
        <f>COUNTIFS(Table1[Date],Sheet1!$A748,Table1[Sentiment V1],Sheet1!B$1)</f>
      </c>
      <c r="C748" s="14">
        <f>COUNTIFS(Table1[Date],Sheet1!$A748,Table1[Sentiment V1],Sheet1!C$1)</f>
      </c>
      <c r="D748" s="14">
        <f>COUNTIFS(Table1[Date],Sheet1!$A748,Table1[Sentiment V1],Sheet1!D$1)</f>
      </c>
      <c r="E748" s="15">
        <f>SUMIFS(Sheet2!B:B,Sheet2!A:A,Sheet1!A748)</f>
      </c>
      <c r="F748" s="14">
        <f>B748-C748</f>
      </c>
      <c r="G748" s="12"/>
      <c r="H748" s="13"/>
    </row>
    <row x14ac:dyDescent="0.25" r="749" customHeight="1" ht="18.75" hidden="1">
      <c r="A749" s="9">
        <v>40012</v>
      </c>
      <c r="B749" s="14">
        <f>COUNTIFS(Table1[Date],Sheet1!$A749,Table1[Sentiment V1],Sheet1!B$1)</f>
      </c>
      <c r="C749" s="14">
        <f>COUNTIFS(Table1[Date],Sheet1!$A749,Table1[Sentiment V1],Sheet1!C$1)</f>
      </c>
      <c r="D749" s="14">
        <f>COUNTIFS(Table1[Date],Sheet1!$A749,Table1[Sentiment V1],Sheet1!D$1)</f>
      </c>
      <c r="E749" s="15">
        <f>SUMIFS(Sheet2!B:B,Sheet2!A:A,Sheet1!A749)</f>
      </c>
      <c r="F749" s="14">
        <f>B749-C749</f>
      </c>
      <c r="G749" s="12"/>
      <c r="H749" s="13"/>
    </row>
    <row x14ac:dyDescent="0.25" r="750" customHeight="1" ht="18.75" hidden="1">
      <c r="A750" s="9">
        <v>39836</v>
      </c>
      <c r="B750" s="14">
        <f>COUNTIFS(Table1[Date],Sheet1!$A750,Table1[Sentiment V1],Sheet1!B$1)</f>
      </c>
      <c r="C750" s="14">
        <f>COUNTIFS(Table1[Date],Sheet1!$A750,Table1[Sentiment V1],Sheet1!C$1)</f>
      </c>
      <c r="D750" s="14">
        <f>COUNTIFS(Table1[Date],Sheet1!$A750,Table1[Sentiment V1],Sheet1!D$1)</f>
      </c>
      <c r="E750" s="15">
        <f>SUMIFS(Sheet2!B:B,Sheet2!A:A,Sheet1!A750)</f>
      </c>
      <c r="F750" s="14">
        <f>B750-C750</f>
      </c>
      <c r="G750" s="12"/>
      <c r="H750" s="13"/>
    </row>
    <row x14ac:dyDescent="0.25" r="751" customHeight="1" ht="18.75" hidden="1">
      <c r="A751" s="9"/>
      <c r="B751" s="14">
        <f>COUNTIFS(Table1[Date],Sheet1!$A751,Table1[Sentiment V1],Sheet1!B$1)</f>
      </c>
      <c r="C751" s="14">
        <f>COUNTIFS(Table1[Date],Sheet1!$A751,Table1[Sentiment V1],Sheet1!C$1)</f>
      </c>
      <c r="D751" s="14">
        <f>COUNTIFS(Table1[Date],Sheet1!$A751,Table1[Sentiment V1],Sheet1!D$1)</f>
      </c>
      <c r="E751" s="15">
        <f>SUMIFS(Sheet2!B:B,Sheet2!A:A,Sheet1!A751)</f>
      </c>
      <c r="F751" s="14">
        <f>B751-C751</f>
      </c>
      <c r="G751" s="12"/>
      <c r="H751"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693"/>
  <sheetViews>
    <sheetView workbookViewId="0"/>
  </sheetViews>
  <sheetFormatPr defaultRowHeight="15" x14ac:dyDescent="0.25"/>
  <cols>
    <col min="1" max="1" style="7" width="9.862142857142858" customWidth="1" bestFit="1"/>
    <col min="2" max="2" style="8" width="13.576428571428572" customWidth="1" bestFit="1"/>
  </cols>
  <sheetData>
    <row x14ac:dyDescent="0.25" r="1" customHeight="1" ht="75">
      <c r="A1" s="1">
        <f>_xll.Storm.ExcelMacros.GvTableInfo("ShowSymbolNameInHeader=False;"&amp;"IncludeAverage=False;"&amp;"BlanksStrategy=UsePrevious;"&amp;"SettleForClose=False;"&amp;"Order=NewerToOlder;"&amp;"StaticData=Simple;"&amp;"MarkStaticData=True;"&amp;"FirstTime=True;"&amp;"CloseAggregationMethod=Last;"&amp;"HighLowAggregationMethod=MinMax;"&amp;"SelectedPeriod=Daily;"&amp;"SelectedSpecType=DataRange;"&amp;"DailyLastMode=Weekdays;"&amp;"StartDate=01/01/2019 00:00:00;"&amp;"EndDate;"&amp;"StartDateRange;"&amp;"EndDateRange;"&amp;"LastDate=06/24/2025 00:00:00;"&amp;"UseLocalTime=False;"&amp;"MovingAverageIntervals=;"&amp;"NumberOfResultLeafs=1;"&amp;"NumberOfFields=1;"&amp;"NumberOfPeriods=1691;"&amp;"Version=4.10.0.0;"&amp;"WorkbookVersion=5;"&amp;"ExpirationDate=07/08/2025 00:00:00;"&amp;"SymbolSelectorWidth=481;"&amp;"FieldSelectorWidth=350;", 638863240204535000)</f>
      </c>
      <c r="B1" s="2">
        <f>_xll.Storm.ExcelMacros.GvDescription("/BRN", $B$2, "daily", "2", "0", "", "", , "p#", , , , , , "Hundredths", , FALSE, )</f>
      </c>
    </row>
    <row x14ac:dyDescent="0.25" r="2" customHeight="1" ht="18.75">
      <c r="A2" s="3" t="s">
        <v>0</v>
      </c>
      <c r="B2" s="4" t="s">
        <v>1</v>
      </c>
    </row>
    <row x14ac:dyDescent="0.25" r="3" customHeight="1" ht="18.75">
      <c r="A3" s="5">
        <f>DATE(2025, 6, 24)</f>
        <v>25569.3125</v>
      </c>
      <c r="B3" s="6">
        <f>IF(ISERROR(_xll.Storm.ExcelMacros.GvDaily("/BRN", B$2, A3, "", "", "", , "p#", , , , , "/BRN", "Hundredths", , FALSE, )), 68.76, _xll.Storm.ExcelMacros.GvDaily("/BRN", B$2, A3, "", "", "", , "p#", , , , , "/BRN", "Hundredths", , FALSE, ))</f>
      </c>
    </row>
    <row x14ac:dyDescent="0.25" r="4" customHeight="1" ht="18.75">
      <c r="A4" s="5">
        <f>DATE(2025, 6, 23)</f>
        <v>25569.3125</v>
      </c>
      <c r="B4" s="6">
        <f>IF(ISERROR(_xll.Storm.ExcelMacros.GvDaily("/BRN", B$2, A4, "", "", "", , "p#", , , , , "/BRN", "Hundredths", , FALSE, )), 71.48, _xll.Storm.ExcelMacros.GvDaily("/BRN", B$2, A4, "", "", "", , "p#", , , , , "/BRN", "Hundredths", , FALSE, ))</f>
      </c>
    </row>
    <row x14ac:dyDescent="0.25" r="5" customHeight="1" ht="18.75">
      <c r="A5" s="5">
        <f>DATE(2025, 6, 20)</f>
        <v>25569.3125</v>
      </c>
      <c r="B5" s="6">
        <f>IF(ISERROR(_xll.Storm.ExcelMacros.GvDaily("/BRN", B$2, A5, "", "", "", , "p#", , , , , "/BRN", "Hundredths", , FALSE, )), 77.01, _xll.Storm.ExcelMacros.GvDaily("/BRN", B$2, A5, "", "", "", , "p#", , , , , "/BRN", "Hundredths", , FALSE, ))</f>
      </c>
    </row>
    <row x14ac:dyDescent="0.25" r="6" customHeight="1" ht="18.75">
      <c r="A6" s="5">
        <f>DATE(2025, 6, 19)</f>
        <v>25569.3125</v>
      </c>
      <c r="B6" s="6">
        <f>IF(ISERROR(_xll.Storm.ExcelMacros.GvDaily("/BRN", B$2, A6, "", "", "", , "p#", , , , , "/BRN", "Hundredths", , FALSE, )), 78.85, _xll.Storm.ExcelMacros.GvDaily("/BRN", B$2, A6, "", "", "", , "p#", , , , , "/BRN", "Hundredths", , FALSE, ))</f>
      </c>
    </row>
    <row x14ac:dyDescent="0.25" r="7" customHeight="1" ht="18.75">
      <c r="A7" s="5">
        <f>DATE(2025, 6, 18)</f>
        <v>25569.3125</v>
      </c>
      <c r="B7" s="6">
        <f>IF(ISERROR(_xll.Storm.ExcelMacros.GvDaily("/BRN", B$2, A7, "", "", "", , "p#", , , , , "/BRN", "Hundredths", , FALSE, )), 76.7, _xll.Storm.ExcelMacros.GvDaily("/BRN", B$2, A7, "", "", "", , "p#", , , , , "/BRN", "Hundredths", , FALSE, ))</f>
      </c>
    </row>
    <row x14ac:dyDescent="0.25" r="8" customHeight="1" ht="18.75">
      <c r="A8" s="5">
        <f>DATE(2025, 6, 17)</f>
        <v>25569.3125</v>
      </c>
      <c r="B8" s="6">
        <f>IF(ISERROR(_xll.Storm.ExcelMacros.GvDaily("/BRN", B$2, A8, "", "", "", , "p#", , , , , "/BRN", "Hundredths", , FALSE, )), 76.45, _xll.Storm.ExcelMacros.GvDaily("/BRN", B$2, A8, "", "", "", , "p#", , , , , "/BRN", "Hundredths", , FALSE, ))</f>
      </c>
    </row>
    <row x14ac:dyDescent="0.25" r="9" customHeight="1" ht="18.75">
      <c r="A9" s="5">
        <f>DATE(2025, 6, 16)</f>
        <v>25569.3125</v>
      </c>
      <c r="B9" s="6">
        <f>IF(ISERROR(_xll.Storm.ExcelMacros.GvDaily("/BRN", B$2, A9, "", "", "", , "p#", , , , , "/BRN", "Hundredths", , FALSE, )), 73.23, _xll.Storm.ExcelMacros.GvDaily("/BRN", B$2, A9, "", "", "", , "p#", , , , , "/BRN", "Hundredths", , FALSE, ))</f>
      </c>
    </row>
    <row x14ac:dyDescent="0.25" r="10" customHeight="1" ht="18.75">
      <c r="A10" s="5">
        <f>DATE(2025, 6, 13)</f>
        <v>25569.3125</v>
      </c>
      <c r="B10" s="6">
        <f>IF(ISERROR(_xll.Storm.ExcelMacros.GvDaily("/BRN", B$2, A10, "", "", "", , "p#", , , , , "/BRN", "Hundredths", , FALSE, )), 74.23, _xll.Storm.ExcelMacros.GvDaily("/BRN", B$2, A10, "", "", "", , "p#", , , , , "/BRN", "Hundredths", , FALSE, ))</f>
      </c>
    </row>
    <row x14ac:dyDescent="0.25" r="11" customHeight="1" ht="18.75">
      <c r="A11" s="5">
        <f>DATE(2025, 6, 12)</f>
        <v>25569.3125</v>
      </c>
      <c r="B11" s="6">
        <f>IF(ISERROR(_xll.Storm.ExcelMacros.GvDaily("/BRN", B$2, A11, "", "", "", , "p#", , , , , "/BRN", "Hundredths", , FALSE, )), 69.36, _xll.Storm.ExcelMacros.GvDaily("/BRN", B$2, A11, "", "", "", , "p#", , , , , "/BRN", "Hundredths", , FALSE, ))</f>
      </c>
    </row>
    <row x14ac:dyDescent="0.25" r="12" customHeight="1" ht="18.75">
      <c r="A12" s="5">
        <f>DATE(2025, 6, 11)</f>
        <v>25569.3125</v>
      </c>
      <c r="B12" s="6">
        <f>IF(ISERROR(_xll.Storm.ExcelMacros.GvDaily("/BRN", B$2, A12, "", "", "", , "p#", , , , , "/BRN", "Hundredths", , FALSE, )), 69.77, _xll.Storm.ExcelMacros.GvDaily("/BRN", B$2, A12, "", "", "", , "p#", , , , , "/BRN", "Hundredths", , FALSE, ))</f>
      </c>
    </row>
    <row x14ac:dyDescent="0.25" r="13" customHeight="1" ht="18.75">
      <c r="A13" s="5">
        <f>DATE(2025, 6, 10)</f>
        <v>25569.3125</v>
      </c>
      <c r="B13" s="6">
        <f>IF(ISERROR(_xll.Storm.ExcelMacros.GvDaily("/BRN", B$2, A13, "", "", "", , "p#", , , , , "/BRN", "Hundredths", , FALSE, )), 66.87, _xll.Storm.ExcelMacros.GvDaily("/BRN", B$2, A13, "", "", "", , "p#", , , , , "/BRN", "Hundredths", , FALSE, ))</f>
      </c>
    </row>
    <row x14ac:dyDescent="0.25" r="14" customHeight="1" ht="18.75">
      <c r="A14" s="5">
        <f>DATE(2025, 6, 9)</f>
        <v>25569.3125</v>
      </c>
      <c r="B14" s="6">
        <f>IF(ISERROR(_xll.Storm.ExcelMacros.GvDaily("/BRN", B$2, A14, "", "", "", , "p#", , , , , "/BRN", "Hundredths", , FALSE, )), 67.04, _xll.Storm.ExcelMacros.GvDaily("/BRN", B$2, A14, "", "", "", , "p#", , , , , "/BRN", "Hundredths", , FALSE, ))</f>
      </c>
    </row>
    <row x14ac:dyDescent="0.25" r="15" customHeight="1" ht="18.75">
      <c r="A15" s="5">
        <f>DATE(2025, 6, 6)</f>
        <v>25569.3125</v>
      </c>
      <c r="B15" s="6">
        <f>IF(ISERROR(_xll.Storm.ExcelMacros.GvDaily("/BRN", B$2, A15, "", "", "", , "p#", , , , , "/BRN", "Hundredths", , FALSE, )), 66.47, _xll.Storm.ExcelMacros.GvDaily("/BRN", B$2, A15, "", "", "", , "p#", , , , , "/BRN", "Hundredths", , FALSE, ))</f>
      </c>
    </row>
    <row x14ac:dyDescent="0.25" r="16" customHeight="1" ht="18.75">
      <c r="A16" s="5">
        <f>DATE(2025, 6, 5)</f>
        <v>25569.3125</v>
      </c>
      <c r="B16" s="6">
        <f>IF(ISERROR(_xll.Storm.ExcelMacros.GvDaily("/BRN", B$2, A16, "", "", "", , "p#", , , , , "/BRN", "Hundredths", , FALSE, )), 65.34, _xll.Storm.ExcelMacros.GvDaily("/BRN", B$2, A16, "", "", "", , "p#", , , , , "/BRN", "Hundredths", , FALSE, ))</f>
      </c>
    </row>
    <row x14ac:dyDescent="0.25" r="17" customHeight="1" ht="18.75">
      <c r="A17" s="5">
        <f>DATE(2025, 6, 4)</f>
        <v>25569.3125</v>
      </c>
      <c r="B17" s="6">
        <f>IF(ISERROR(_xll.Storm.ExcelMacros.GvDaily("/BRN", B$2, A17, "", "", "", , "p#", , , , , "/BRN", "Hundredths", , FALSE, )), 64.86, _xll.Storm.ExcelMacros.GvDaily("/BRN", B$2, A17, "", "", "", , "p#", , , , , "/BRN", "Hundredths", , FALSE, ))</f>
      </c>
    </row>
    <row x14ac:dyDescent="0.25" r="18" customHeight="1" ht="18.75">
      <c r="A18" s="5">
        <f>DATE(2025, 6, 3)</f>
        <v>25569.3125</v>
      </c>
      <c r="B18" s="6">
        <v>65.63</v>
      </c>
    </row>
    <row x14ac:dyDescent="0.25" r="19" customHeight="1" ht="18.75">
      <c r="A19" s="5">
        <f>DATE(2025, 6, 2)</f>
        <v>25569.3125</v>
      </c>
      <c r="B19" s="6">
        <v>64.63</v>
      </c>
    </row>
    <row x14ac:dyDescent="0.25" r="20" customHeight="1" ht="18.75">
      <c r="A20" s="5">
        <f>DATE(2025, 5, 30)</f>
        <v>25569.3125</v>
      </c>
      <c r="B20" s="6">
        <v>63.9</v>
      </c>
    </row>
    <row x14ac:dyDescent="0.25" r="21" customHeight="1" ht="18.75">
      <c r="A21" s="5">
        <f>DATE(2025, 5, 29)</f>
        <v>25569.3125</v>
      </c>
      <c r="B21" s="6">
        <v>64.15</v>
      </c>
    </row>
    <row x14ac:dyDescent="0.25" r="22" customHeight="1" ht="18.75">
      <c r="A22" s="5">
        <f>DATE(2025, 5, 28)</f>
        <v>25569.3125</v>
      </c>
      <c r="B22" s="6">
        <v>64.9</v>
      </c>
    </row>
    <row x14ac:dyDescent="0.25" r="23" customHeight="1" ht="18.75">
      <c r="A23" s="5">
        <f>DATE(2025, 5, 27)</f>
        <v>25569.3125</v>
      </c>
      <c r="B23" s="6">
        <v>64.09</v>
      </c>
    </row>
    <row x14ac:dyDescent="0.25" r="24" customHeight="1" ht="18.75">
      <c r="A24" s="5">
        <f>DATE(2025, 5, 26)</f>
        <v>25569.3125</v>
      </c>
      <c r="B24" s="6">
        <v>64.74</v>
      </c>
    </row>
    <row x14ac:dyDescent="0.25" r="25" customHeight="1" ht="18.75">
      <c r="A25" s="5">
        <f>DATE(2025, 5, 23)</f>
        <v>25569.3125</v>
      </c>
      <c r="B25" s="6">
        <v>64.78</v>
      </c>
    </row>
    <row x14ac:dyDescent="0.25" r="26" customHeight="1" ht="18.75">
      <c r="A26" s="5">
        <f>DATE(2025, 5, 22)</f>
        <v>25569.3125</v>
      </c>
      <c r="B26" s="6">
        <v>64.44</v>
      </c>
    </row>
    <row x14ac:dyDescent="0.25" r="27" customHeight="1" ht="18.75">
      <c r="A27" s="5">
        <f>DATE(2025, 5, 21)</f>
        <v>25569.3125</v>
      </c>
      <c r="B27" s="6">
        <v>64.91</v>
      </c>
    </row>
    <row x14ac:dyDescent="0.25" r="28" customHeight="1" ht="18.75">
      <c r="A28" s="5">
        <f>DATE(2025, 5, 20)</f>
        <v>25569.3125</v>
      </c>
      <c r="B28" s="6">
        <v>65.38</v>
      </c>
    </row>
    <row x14ac:dyDescent="0.25" r="29" customHeight="1" ht="18.75">
      <c r="A29" s="5">
        <f>DATE(2025, 5, 19)</f>
        <v>25569.3125</v>
      </c>
      <c r="B29" s="6">
        <v>65.54</v>
      </c>
    </row>
    <row x14ac:dyDescent="0.25" r="30" customHeight="1" ht="18.75">
      <c r="A30" s="5">
        <f>DATE(2025, 5, 16)</f>
        <v>25569.3125</v>
      </c>
      <c r="B30" s="6">
        <v>65.41</v>
      </c>
    </row>
    <row x14ac:dyDescent="0.25" r="31" customHeight="1" ht="18.75">
      <c r="A31" s="5">
        <f>DATE(2025, 5, 15)</f>
        <v>25569.3125</v>
      </c>
      <c r="B31" s="6">
        <v>64.53</v>
      </c>
    </row>
    <row x14ac:dyDescent="0.25" r="32" customHeight="1" ht="18.75">
      <c r="A32" s="5">
        <f>DATE(2025, 5, 14)</f>
        <v>25569.3125</v>
      </c>
      <c r="B32" s="6">
        <v>66.09</v>
      </c>
    </row>
    <row x14ac:dyDescent="0.25" r="33" customHeight="1" ht="18.75">
      <c r="A33" s="5">
        <f>DATE(2025, 5, 13)</f>
        <v>25569.3125</v>
      </c>
      <c r="B33" s="6">
        <v>66.63</v>
      </c>
    </row>
    <row x14ac:dyDescent="0.25" r="34" customHeight="1" ht="18.75">
      <c r="A34" s="5">
        <f>DATE(2025, 5, 12)</f>
        <v>25569.3125</v>
      </c>
      <c r="B34" s="6">
        <v>64.96</v>
      </c>
    </row>
    <row x14ac:dyDescent="0.25" r="35" customHeight="1" ht="18.75">
      <c r="A35" s="5">
        <f>DATE(2025, 5, 9)</f>
        <v>25569.3125</v>
      </c>
      <c r="B35" s="6">
        <v>63.91</v>
      </c>
    </row>
    <row x14ac:dyDescent="0.25" r="36" customHeight="1" ht="18.75">
      <c r="A36" s="5">
        <f>DATE(2025, 5, 8)</f>
        <v>25569.3125</v>
      </c>
      <c r="B36" s="6">
        <v>62.84</v>
      </c>
    </row>
    <row x14ac:dyDescent="0.25" r="37" customHeight="1" ht="18.75">
      <c r="A37" s="5">
        <f>DATE(2025, 5, 7)</f>
        <v>25569.3125</v>
      </c>
      <c r="B37" s="6">
        <v>61.12</v>
      </c>
    </row>
    <row x14ac:dyDescent="0.25" r="38" customHeight="1" ht="18.75">
      <c r="A38" s="5">
        <f>DATE(2025, 5, 6)</f>
        <v>25569.3125</v>
      </c>
      <c r="B38" s="6">
        <v>62.15</v>
      </c>
    </row>
    <row x14ac:dyDescent="0.25" r="39" customHeight="1" ht="18.75">
      <c r="A39" s="5">
        <f>DATE(2025, 5, 5)</f>
        <v>25569.3125</v>
      </c>
      <c r="B39" s="6">
        <v>60.23</v>
      </c>
    </row>
    <row x14ac:dyDescent="0.25" r="40" customHeight="1" ht="18.75">
      <c r="A40" s="5">
        <f>DATE(2025, 5, 2)</f>
        <v>25569.3125</v>
      </c>
      <c r="B40" s="6">
        <v>61.29</v>
      </c>
    </row>
    <row x14ac:dyDescent="0.25" r="41" customHeight="1" ht="18.75">
      <c r="A41" s="5">
        <f>DATE(2025, 5, 1)</f>
        <v>25569.3125</v>
      </c>
      <c r="B41" s="6">
        <v>62.13</v>
      </c>
    </row>
    <row x14ac:dyDescent="0.25" r="42" customHeight="1" ht="18.75">
      <c r="A42" s="5">
        <f>DATE(2025, 4, 30)</f>
        <v>25569.3125</v>
      </c>
      <c r="B42" s="6">
        <v>63.12</v>
      </c>
    </row>
    <row x14ac:dyDescent="0.25" r="43" customHeight="1" ht="18.75">
      <c r="A43" s="5">
        <f>DATE(2025, 4, 29)</f>
        <v>25569.3125</v>
      </c>
      <c r="B43" s="6">
        <v>64.25</v>
      </c>
    </row>
    <row x14ac:dyDescent="0.25" r="44" customHeight="1" ht="18.75">
      <c r="A44" s="5">
        <f>DATE(2025, 4, 28)</f>
        <v>25569.3125</v>
      </c>
      <c r="B44" s="6">
        <v>65.86</v>
      </c>
    </row>
    <row x14ac:dyDescent="0.25" r="45" customHeight="1" ht="18.75">
      <c r="A45" s="5">
        <f>DATE(2025, 4, 25)</f>
        <v>25569.3125</v>
      </c>
      <c r="B45" s="6">
        <v>66.87</v>
      </c>
    </row>
    <row x14ac:dyDescent="0.25" r="46" customHeight="1" ht="18.75">
      <c r="A46" s="5">
        <f>DATE(2025, 4, 24)</f>
        <v>25569.3125</v>
      </c>
      <c r="B46" s="6">
        <v>66.55</v>
      </c>
    </row>
    <row x14ac:dyDescent="0.25" r="47" customHeight="1" ht="18.75">
      <c r="A47" s="5">
        <f>DATE(2025, 4, 23)</f>
        <v>25569.3125</v>
      </c>
      <c r="B47" s="6">
        <v>66.12</v>
      </c>
    </row>
    <row x14ac:dyDescent="0.25" r="48" customHeight="1" ht="18.75">
      <c r="A48" s="5">
        <f>DATE(2025, 4, 22)</f>
        <v>25569.3125</v>
      </c>
      <c r="B48" s="6">
        <v>67.44</v>
      </c>
    </row>
    <row x14ac:dyDescent="0.25" r="49" customHeight="1" ht="18.75">
      <c r="A49" s="5">
        <f>DATE(2025, 4, 21)</f>
        <v>25569.3125</v>
      </c>
      <c r="B49" s="6">
        <v>66.26</v>
      </c>
    </row>
    <row x14ac:dyDescent="0.25" r="50" customHeight="1" ht="18.75">
      <c r="A50" s="5">
        <f>DATE(2025, 4, 18)</f>
        <v>25569.3125</v>
      </c>
      <c r="B50" s="6">
        <v>67.96</v>
      </c>
    </row>
    <row x14ac:dyDescent="0.25" r="51" customHeight="1" ht="18.75">
      <c r="A51" s="5">
        <f>DATE(2025, 4, 17)</f>
        <v>25569.3125</v>
      </c>
      <c r="B51" s="6">
        <v>67.96</v>
      </c>
    </row>
    <row x14ac:dyDescent="0.25" r="52" customHeight="1" ht="18.75">
      <c r="A52" s="5">
        <f>DATE(2025, 4, 16)</f>
        <v>25569.3125</v>
      </c>
      <c r="B52" s="6">
        <v>65.85</v>
      </c>
    </row>
    <row x14ac:dyDescent="0.25" r="53" customHeight="1" ht="18.75">
      <c r="A53" s="5">
        <f>DATE(2025, 4, 15)</f>
        <v>25569.3125</v>
      </c>
      <c r="B53" s="6">
        <v>64.67</v>
      </c>
    </row>
    <row x14ac:dyDescent="0.25" r="54" customHeight="1" ht="18.75">
      <c r="A54" s="5">
        <f>DATE(2025, 4, 14)</f>
        <v>25569.3125</v>
      </c>
      <c r="B54" s="6">
        <v>64.88</v>
      </c>
    </row>
    <row x14ac:dyDescent="0.25" r="55" customHeight="1" ht="18.75">
      <c r="A55" s="5">
        <f>DATE(2025, 4, 11)</f>
        <v>25569.3125</v>
      </c>
      <c r="B55" s="6">
        <v>64.76</v>
      </c>
    </row>
    <row x14ac:dyDescent="0.25" r="56" customHeight="1" ht="18.75">
      <c r="A56" s="5">
        <f>DATE(2025, 4, 10)</f>
        <v>25569.3125</v>
      </c>
      <c r="B56" s="6">
        <v>63.33</v>
      </c>
    </row>
    <row x14ac:dyDescent="0.25" r="57" customHeight="1" ht="18.75">
      <c r="A57" s="5">
        <f>DATE(2025, 4, 9)</f>
        <v>25569.3125</v>
      </c>
      <c r="B57" s="6">
        <v>65.48</v>
      </c>
    </row>
    <row x14ac:dyDescent="0.25" r="58" customHeight="1" ht="18.75">
      <c r="A58" s="5">
        <f>DATE(2025, 4, 8)</f>
        <v>25569.3125</v>
      </c>
      <c r="B58" s="6">
        <v>62.82</v>
      </c>
    </row>
    <row x14ac:dyDescent="0.25" r="59" customHeight="1" ht="18.75">
      <c r="A59" s="5">
        <f>DATE(2025, 4, 7)</f>
        <v>25569.3125</v>
      </c>
      <c r="B59" s="6">
        <v>64.21</v>
      </c>
    </row>
    <row x14ac:dyDescent="0.25" r="60" customHeight="1" ht="18.75">
      <c r="A60" s="5">
        <f>DATE(2025, 4, 4)</f>
        <v>25569.3125</v>
      </c>
      <c r="B60" s="6">
        <v>65.58</v>
      </c>
    </row>
    <row x14ac:dyDescent="0.25" r="61" customHeight="1" ht="18.75">
      <c r="A61" s="5">
        <f>DATE(2025, 4, 3)</f>
        <v>25569.3125</v>
      </c>
      <c r="B61" s="6">
        <v>70.14</v>
      </c>
    </row>
    <row x14ac:dyDescent="0.25" r="62" customHeight="1" ht="18.75">
      <c r="A62" s="5">
        <f>DATE(2025, 4, 2)</f>
        <v>25569.3125</v>
      </c>
      <c r="B62" s="6">
        <v>74.95</v>
      </c>
    </row>
    <row x14ac:dyDescent="0.25" r="63" customHeight="1" ht="18.75">
      <c r="A63" s="5">
        <f>DATE(2025, 4, 1)</f>
        <v>25569.3125</v>
      </c>
      <c r="B63" s="6">
        <v>74.49</v>
      </c>
    </row>
    <row x14ac:dyDescent="0.25" r="64" customHeight="1" ht="18.75">
      <c r="A64" s="5">
        <f>DATE(2025, 3, 31)</f>
        <v>25569.3125</v>
      </c>
      <c r="B64" s="6">
        <v>74.74</v>
      </c>
    </row>
    <row x14ac:dyDescent="0.25" r="65" customHeight="1" ht="18.75">
      <c r="A65" s="5">
        <f>DATE(2025, 3, 28)</f>
        <v>25569.3125</v>
      </c>
      <c r="B65" s="6">
        <v>73.63</v>
      </c>
    </row>
    <row x14ac:dyDescent="0.25" r="66" customHeight="1" ht="18.75">
      <c r="A66" s="5">
        <f>DATE(2025, 3, 27)</f>
        <v>25569.3125</v>
      </c>
      <c r="B66" s="6">
        <v>74.03</v>
      </c>
    </row>
    <row x14ac:dyDescent="0.25" r="67" customHeight="1" ht="18.75">
      <c r="A67" s="5">
        <f>DATE(2025, 3, 26)</f>
        <v>25569.3125</v>
      </c>
      <c r="B67" s="6">
        <v>73.79</v>
      </c>
    </row>
    <row x14ac:dyDescent="0.25" r="68" customHeight="1" ht="18.75">
      <c r="A68" s="5">
        <f>DATE(2025, 3, 25)</f>
        <v>25569.3125</v>
      </c>
      <c r="B68" s="6">
        <v>73.02</v>
      </c>
    </row>
    <row x14ac:dyDescent="0.25" r="69" customHeight="1" ht="18.75">
      <c r="A69" s="5">
        <f>DATE(2025, 3, 24)</f>
        <v>25569.3125</v>
      </c>
      <c r="B69" s="6">
        <v>73</v>
      </c>
    </row>
    <row x14ac:dyDescent="0.25" r="70" customHeight="1" ht="18.75">
      <c r="A70" s="5">
        <f>DATE(2025, 3, 21)</f>
        <v>25569.3125</v>
      </c>
      <c r="B70" s="6">
        <v>72.16</v>
      </c>
    </row>
    <row x14ac:dyDescent="0.25" r="71" customHeight="1" ht="18.75">
      <c r="A71" s="5">
        <f>DATE(2025, 3, 20)</f>
        <v>25569.3125</v>
      </c>
      <c r="B71" s="6">
        <v>72</v>
      </c>
    </row>
    <row x14ac:dyDescent="0.25" r="72" customHeight="1" ht="18.75">
      <c r="A72" s="5">
        <f>DATE(2025, 3, 19)</f>
        <v>25569.3125</v>
      </c>
      <c r="B72" s="6">
        <v>70.78</v>
      </c>
    </row>
    <row x14ac:dyDescent="0.25" r="73" customHeight="1" ht="18.75">
      <c r="A73" s="5">
        <f>DATE(2025, 3, 18)</f>
        <v>25569.3125</v>
      </c>
      <c r="B73" s="6">
        <v>70.56</v>
      </c>
    </row>
    <row x14ac:dyDescent="0.25" r="74" customHeight="1" ht="18.75">
      <c r="A74" s="5">
        <f>DATE(2025, 3, 17)</f>
        <v>25569.3125</v>
      </c>
      <c r="B74" s="6">
        <v>71.07</v>
      </c>
    </row>
    <row x14ac:dyDescent="0.25" r="75" customHeight="1" ht="18.75">
      <c r="A75" s="5">
        <f>DATE(2025, 3, 14)</f>
        <v>25569.3125</v>
      </c>
      <c r="B75" s="6">
        <v>70.58</v>
      </c>
    </row>
    <row x14ac:dyDescent="0.25" r="76" customHeight="1" ht="18.75">
      <c r="A76" s="5">
        <f>DATE(2025, 3, 13)</f>
        <v>25569.3125</v>
      </c>
      <c r="B76" s="6">
        <v>69.88</v>
      </c>
    </row>
    <row x14ac:dyDescent="0.25" r="77" customHeight="1" ht="18.75">
      <c r="A77" s="5">
        <f>DATE(2025, 3, 12)</f>
        <v>25569.3125</v>
      </c>
      <c r="B77" s="6">
        <v>70.95</v>
      </c>
    </row>
    <row x14ac:dyDescent="0.25" r="78" customHeight="1" ht="18.75">
      <c r="A78" s="5">
        <f>DATE(2025, 3, 11)</f>
        <v>25569.3125</v>
      </c>
      <c r="B78" s="6">
        <v>69.56</v>
      </c>
    </row>
    <row x14ac:dyDescent="0.25" r="79" customHeight="1" ht="18.75">
      <c r="A79" s="5">
        <f>DATE(2025, 3, 10)</f>
        <v>25569.3125</v>
      </c>
      <c r="B79" s="6">
        <v>69.28</v>
      </c>
    </row>
    <row x14ac:dyDescent="0.25" r="80" customHeight="1" ht="18.75">
      <c r="A80" s="5">
        <f>DATE(2025, 3, 7)</f>
        <v>25569.3125</v>
      </c>
      <c r="B80" s="6">
        <v>70.36</v>
      </c>
    </row>
    <row x14ac:dyDescent="0.25" r="81" customHeight="1" ht="18.75">
      <c r="A81" s="5">
        <f>DATE(2025, 3, 6)</f>
        <v>25569.3125</v>
      </c>
      <c r="B81" s="6">
        <v>69.46</v>
      </c>
    </row>
    <row x14ac:dyDescent="0.25" r="82" customHeight="1" ht="18.75">
      <c r="A82" s="5">
        <f>DATE(2025, 3, 5)</f>
        <v>25569.3125</v>
      </c>
      <c r="B82" s="6">
        <v>69.3</v>
      </c>
    </row>
    <row x14ac:dyDescent="0.25" r="83" customHeight="1" ht="18.75">
      <c r="A83" s="5">
        <f>DATE(2025, 3, 4)</f>
        <v>25569.3125</v>
      </c>
      <c r="B83" s="6">
        <v>71.04</v>
      </c>
    </row>
    <row x14ac:dyDescent="0.25" r="84" customHeight="1" ht="18.75">
      <c r="A84" s="5">
        <f>DATE(2025, 3, 3)</f>
        <v>25569.3125</v>
      </c>
      <c r="B84" s="6">
        <v>71.62</v>
      </c>
    </row>
    <row x14ac:dyDescent="0.25" r="85" customHeight="1" ht="18.75">
      <c r="A85" s="5">
        <f>DATE(2025, 2, 28)</f>
        <v>25569.3125</v>
      </c>
      <c r="B85" s="6">
        <v>73.18</v>
      </c>
    </row>
    <row x14ac:dyDescent="0.25" r="86" customHeight="1" ht="18.75">
      <c r="A86" s="5">
        <f>DATE(2025, 2, 27)</f>
        <v>25569.3125</v>
      </c>
      <c r="B86" s="6">
        <v>74.04</v>
      </c>
    </row>
    <row x14ac:dyDescent="0.25" r="87" customHeight="1" ht="18.75">
      <c r="A87" s="5">
        <f>DATE(2025, 2, 26)</f>
        <v>25569.3125</v>
      </c>
      <c r="B87" s="6">
        <v>72.53</v>
      </c>
    </row>
    <row x14ac:dyDescent="0.25" r="88" customHeight="1" ht="18.75">
      <c r="A88" s="5">
        <f>DATE(2025, 2, 25)</f>
        <v>25569.3125</v>
      </c>
      <c r="B88" s="6">
        <v>73.02</v>
      </c>
    </row>
    <row x14ac:dyDescent="0.25" r="89" customHeight="1" ht="18.75">
      <c r="A89" s="5">
        <f>DATE(2025, 2, 24)</f>
        <v>25569.3125</v>
      </c>
      <c r="B89" s="6">
        <v>74.78</v>
      </c>
    </row>
    <row x14ac:dyDescent="0.25" r="90" customHeight="1" ht="18.75">
      <c r="A90" s="5">
        <f>DATE(2025, 2, 21)</f>
        <v>25569.3125</v>
      </c>
      <c r="B90" s="6">
        <v>74.43</v>
      </c>
    </row>
    <row x14ac:dyDescent="0.25" r="91" customHeight="1" ht="18.75">
      <c r="A91" s="5">
        <f>DATE(2025, 2, 20)</f>
        <v>25569.3125</v>
      </c>
      <c r="B91" s="6">
        <v>76.48</v>
      </c>
    </row>
    <row x14ac:dyDescent="0.25" r="92" customHeight="1" ht="18.75">
      <c r="A92" s="5">
        <f>DATE(2025, 2, 19)</f>
        <v>25569.3125</v>
      </c>
      <c r="B92" s="6">
        <v>76.04</v>
      </c>
    </row>
    <row x14ac:dyDescent="0.25" r="93" customHeight="1" ht="18.75">
      <c r="A93" s="5">
        <f>DATE(2025, 2, 18)</f>
        <v>25569.3125</v>
      </c>
      <c r="B93" s="6">
        <v>75.84</v>
      </c>
    </row>
    <row x14ac:dyDescent="0.25" r="94" customHeight="1" ht="18.75">
      <c r="A94" s="5">
        <f>DATE(2025, 2, 17)</f>
        <v>25569.3125</v>
      </c>
      <c r="B94" s="6">
        <v>75.22</v>
      </c>
    </row>
    <row x14ac:dyDescent="0.25" r="95" customHeight="1" ht="18.75">
      <c r="A95" s="5">
        <f>DATE(2025, 2, 14)</f>
        <v>25569.3125</v>
      </c>
      <c r="B95" s="6">
        <v>74.74</v>
      </c>
    </row>
    <row x14ac:dyDescent="0.25" r="96" customHeight="1" ht="18.75">
      <c r="A96" s="5">
        <f>DATE(2025, 2, 13)</f>
        <v>25569.3125</v>
      </c>
      <c r="B96" s="6">
        <v>75.02</v>
      </c>
    </row>
    <row x14ac:dyDescent="0.25" r="97" customHeight="1" ht="18.75">
      <c r="A97" s="5">
        <f>DATE(2025, 2, 12)</f>
        <v>25569.3125</v>
      </c>
      <c r="B97" s="6">
        <v>75.18</v>
      </c>
    </row>
    <row x14ac:dyDescent="0.25" r="98" customHeight="1" ht="18.75">
      <c r="A98" s="5">
        <f>DATE(2025, 2, 11)</f>
        <v>25569.3125</v>
      </c>
      <c r="B98" s="6">
        <v>77</v>
      </c>
    </row>
    <row x14ac:dyDescent="0.25" r="99" customHeight="1" ht="18.75">
      <c r="A99" s="5">
        <f>DATE(2025, 2, 10)</f>
        <v>25569.3125</v>
      </c>
      <c r="B99" s="6">
        <v>75.87</v>
      </c>
    </row>
    <row x14ac:dyDescent="0.25" r="100" customHeight="1" ht="18.75">
      <c r="A100" s="5">
        <f>DATE(2025, 2, 7)</f>
        <v>25569.3125</v>
      </c>
      <c r="B100" s="6">
        <v>74.66</v>
      </c>
    </row>
    <row x14ac:dyDescent="0.25" r="101" customHeight="1" ht="18.75">
      <c r="A101" s="5">
        <f>DATE(2025, 2, 6)</f>
        <v>25569.3125</v>
      </c>
      <c r="B101" s="6">
        <v>74.29</v>
      </c>
    </row>
    <row x14ac:dyDescent="0.25" r="102" customHeight="1" ht="18.75">
      <c r="A102" s="5">
        <f>DATE(2025, 2, 5)</f>
        <v>25569.3125</v>
      </c>
      <c r="B102" s="6">
        <v>74.61</v>
      </c>
    </row>
    <row x14ac:dyDescent="0.25" r="103" customHeight="1" ht="18.75">
      <c r="A103" s="5">
        <f>DATE(2025, 2, 4)</f>
        <v>25569.3125</v>
      </c>
      <c r="B103" s="6">
        <v>76.2</v>
      </c>
    </row>
    <row x14ac:dyDescent="0.25" r="104" customHeight="1" ht="18.75">
      <c r="A104" s="5">
        <f>DATE(2025, 2, 3)</f>
        <v>25569.3125</v>
      </c>
      <c r="B104" s="6">
        <v>75.96</v>
      </c>
    </row>
    <row x14ac:dyDescent="0.25" r="105" customHeight="1" ht="18.75">
      <c r="A105" s="5">
        <f>DATE(2025, 1, 31)</f>
        <v>25569.3125</v>
      </c>
      <c r="B105" s="6">
        <v>76.76</v>
      </c>
    </row>
    <row x14ac:dyDescent="0.25" r="106" customHeight="1" ht="18.75">
      <c r="A106" s="5">
        <f>DATE(2025, 1, 30)</f>
        <v>25569.3125</v>
      </c>
      <c r="B106" s="6">
        <v>76.87</v>
      </c>
    </row>
    <row x14ac:dyDescent="0.25" r="107" customHeight="1" ht="18.75">
      <c r="A107" s="5">
        <f>DATE(2025, 1, 29)</f>
        <v>25569.3125</v>
      </c>
      <c r="B107" s="6">
        <v>76.58</v>
      </c>
    </row>
    <row x14ac:dyDescent="0.25" r="108" customHeight="1" ht="18.75">
      <c r="A108" s="5">
        <f>DATE(2025, 1, 28)</f>
        <v>25569.3125</v>
      </c>
      <c r="B108" s="6">
        <v>77.49</v>
      </c>
    </row>
    <row x14ac:dyDescent="0.25" r="109" customHeight="1" ht="18.75">
      <c r="A109" s="5">
        <f>DATE(2025, 1, 27)</f>
        <v>25569.3125</v>
      </c>
      <c r="B109" s="6">
        <v>77.08</v>
      </c>
    </row>
    <row x14ac:dyDescent="0.25" r="110" customHeight="1" ht="18.75">
      <c r="A110" s="5">
        <f>DATE(2025, 1, 24)</f>
        <v>25569.3125</v>
      </c>
      <c r="B110" s="6">
        <v>78.5</v>
      </c>
    </row>
    <row x14ac:dyDescent="0.25" r="111" customHeight="1" ht="18.75">
      <c r="A111" s="5">
        <f>DATE(2025, 1, 23)</f>
        <v>25569.3125</v>
      </c>
      <c r="B111" s="6">
        <v>78.29</v>
      </c>
    </row>
    <row x14ac:dyDescent="0.25" r="112" customHeight="1" ht="18.75">
      <c r="A112" s="5">
        <f>DATE(2025, 1, 22)</f>
        <v>25569.3125</v>
      </c>
      <c r="B112" s="6">
        <v>79</v>
      </c>
    </row>
    <row x14ac:dyDescent="0.25" r="113" customHeight="1" ht="18.75">
      <c r="A113" s="5">
        <f>DATE(2025, 1, 21)</f>
        <v>25569.3125</v>
      </c>
      <c r="B113" s="6">
        <v>79.29</v>
      </c>
    </row>
    <row x14ac:dyDescent="0.25" r="114" customHeight="1" ht="18.75">
      <c r="A114" s="5">
        <f>DATE(2025, 1, 20)</f>
        <v>25569.3125</v>
      </c>
      <c r="B114" s="6">
        <v>80.15</v>
      </c>
    </row>
    <row x14ac:dyDescent="0.25" r="115" customHeight="1" ht="18.75">
      <c r="A115" s="5">
        <f>DATE(2025, 1, 17)</f>
        <v>25569.3125</v>
      </c>
      <c r="B115" s="6">
        <v>80.79</v>
      </c>
    </row>
    <row x14ac:dyDescent="0.25" r="116" customHeight="1" ht="18.75">
      <c r="A116" s="5">
        <f>DATE(2025, 1, 16)</f>
        <v>25569.3125</v>
      </c>
      <c r="B116" s="6">
        <v>81.29</v>
      </c>
    </row>
    <row x14ac:dyDescent="0.25" r="117" customHeight="1" ht="18.75">
      <c r="A117" s="5">
        <f>DATE(2025, 1, 15)</f>
        <v>25569.3125</v>
      </c>
      <c r="B117" s="6">
        <v>82.03</v>
      </c>
    </row>
    <row x14ac:dyDescent="0.25" r="118" customHeight="1" ht="18.75">
      <c r="A118" s="5">
        <f>DATE(2025, 1, 14)</f>
        <v>25569.3125</v>
      </c>
      <c r="B118" s="6">
        <v>79.92</v>
      </c>
    </row>
    <row x14ac:dyDescent="0.25" r="119" customHeight="1" ht="18.75">
      <c r="A119" s="5">
        <f>DATE(2025, 1, 13)</f>
        <v>25569.3125</v>
      </c>
      <c r="B119" s="6">
        <v>81.01</v>
      </c>
    </row>
    <row x14ac:dyDescent="0.25" r="120" customHeight="1" ht="18.75">
      <c r="A120" s="5">
        <f>DATE(2025, 1, 10)</f>
        <v>25569.3125</v>
      </c>
      <c r="B120" s="6">
        <v>79.76</v>
      </c>
    </row>
    <row x14ac:dyDescent="0.25" r="121" customHeight="1" ht="18.75">
      <c r="A121" s="5">
        <f>DATE(2025, 1, 9)</f>
        <v>25569.3125</v>
      </c>
      <c r="B121" s="6">
        <v>76.92</v>
      </c>
    </row>
    <row x14ac:dyDescent="0.25" r="122" customHeight="1" ht="18.75">
      <c r="A122" s="5">
        <f>DATE(2025, 1, 8)</f>
        <v>25569.3125</v>
      </c>
      <c r="B122" s="6">
        <v>76.16</v>
      </c>
    </row>
    <row x14ac:dyDescent="0.25" r="123" customHeight="1" ht="18.75">
      <c r="A123" s="5">
        <f>DATE(2025, 1, 7)</f>
        <v>25569.3125</v>
      </c>
      <c r="B123" s="6">
        <v>77.05</v>
      </c>
    </row>
    <row x14ac:dyDescent="0.25" r="124" customHeight="1" ht="18.75">
      <c r="A124" s="5">
        <f>DATE(2025, 1, 6)</f>
        <v>25569.3125</v>
      </c>
      <c r="B124" s="6">
        <v>76.3</v>
      </c>
    </row>
    <row x14ac:dyDescent="0.25" r="125" customHeight="1" ht="18.75">
      <c r="A125" s="5">
        <f>DATE(2025, 1, 3)</f>
        <v>25569.3125</v>
      </c>
      <c r="B125" s="6">
        <v>76.51</v>
      </c>
    </row>
    <row x14ac:dyDescent="0.25" r="126" customHeight="1" ht="18.75">
      <c r="A126" s="5">
        <f>DATE(2025, 1, 2)</f>
        <v>25569.3125</v>
      </c>
      <c r="B126" s="6">
        <v>75.93</v>
      </c>
    </row>
    <row x14ac:dyDescent="0.25" r="127" customHeight="1" ht="18.75">
      <c r="A127" s="5">
        <f>DATE(2025, 1, 1)</f>
        <v>25569.3125</v>
      </c>
      <c r="B127" s="6">
        <v>74.64</v>
      </c>
    </row>
    <row x14ac:dyDescent="0.25" r="128" customHeight="1" ht="18.75">
      <c r="A128" s="5">
        <f>DATE(2024, 12, 31)</f>
        <v>25569.3125</v>
      </c>
      <c r="B128" s="6">
        <v>74.64</v>
      </c>
    </row>
    <row x14ac:dyDescent="0.25" r="129" customHeight="1" ht="18.75">
      <c r="A129" s="5">
        <f>DATE(2024, 12, 30)</f>
        <v>25569.3125</v>
      </c>
      <c r="B129" s="6">
        <v>74.39</v>
      </c>
    </row>
    <row x14ac:dyDescent="0.25" r="130" customHeight="1" ht="18.75">
      <c r="A130" s="5">
        <f>DATE(2024, 12, 27)</f>
        <v>25569.3125</v>
      </c>
      <c r="B130" s="6">
        <v>74.17</v>
      </c>
    </row>
    <row x14ac:dyDescent="0.25" r="131" customHeight="1" ht="18.75">
      <c r="A131" s="5">
        <f>DATE(2024, 12, 26)</f>
        <v>25569.3125</v>
      </c>
      <c r="B131" s="6">
        <v>73.26</v>
      </c>
    </row>
    <row x14ac:dyDescent="0.25" r="132" customHeight="1" ht="18.75">
      <c r="A132" s="5">
        <f>DATE(2024, 12, 25)</f>
        <v>25569.3125</v>
      </c>
      <c r="B132" s="6">
        <v>73.58</v>
      </c>
    </row>
    <row x14ac:dyDescent="0.25" r="133" customHeight="1" ht="18.75">
      <c r="A133" s="5">
        <f>DATE(2024, 12, 24)</f>
        <v>25569.3125</v>
      </c>
      <c r="B133" s="6">
        <v>73.58</v>
      </c>
    </row>
    <row x14ac:dyDescent="0.25" r="134" customHeight="1" ht="18.75">
      <c r="A134" s="5">
        <f>DATE(2024, 12, 23)</f>
        <v>25569.3125</v>
      </c>
      <c r="B134" s="6">
        <v>72.63</v>
      </c>
    </row>
    <row x14ac:dyDescent="0.25" r="135" customHeight="1" ht="18.75">
      <c r="A135" s="5">
        <f>DATE(2024, 12, 20)</f>
        <v>25569.3125</v>
      </c>
      <c r="B135" s="6">
        <v>72.94</v>
      </c>
    </row>
    <row x14ac:dyDescent="0.25" r="136" customHeight="1" ht="18.75">
      <c r="A136" s="5">
        <f>DATE(2024, 12, 19)</f>
        <v>25569.3125</v>
      </c>
      <c r="B136" s="6">
        <v>72.88</v>
      </c>
    </row>
    <row x14ac:dyDescent="0.25" r="137" customHeight="1" ht="18.75">
      <c r="A137" s="5">
        <f>DATE(2024, 12, 18)</f>
        <v>25569.3125</v>
      </c>
      <c r="B137" s="6">
        <v>73.39</v>
      </c>
    </row>
    <row x14ac:dyDescent="0.25" r="138" customHeight="1" ht="18.75">
      <c r="A138" s="5">
        <f>DATE(2024, 12, 17)</f>
        <v>25569.3125</v>
      </c>
      <c r="B138" s="6">
        <v>73.19</v>
      </c>
    </row>
    <row x14ac:dyDescent="0.25" r="139" customHeight="1" ht="18.75">
      <c r="A139" s="5">
        <f>DATE(2024, 12, 16)</f>
        <v>25569.3125</v>
      </c>
      <c r="B139" s="6">
        <v>73.91</v>
      </c>
    </row>
    <row x14ac:dyDescent="0.25" r="140" customHeight="1" ht="18.75">
      <c r="A140" s="5">
        <f>DATE(2024, 12, 13)</f>
        <v>25569.3125</v>
      </c>
      <c r="B140" s="6">
        <v>74.49</v>
      </c>
    </row>
    <row x14ac:dyDescent="0.25" r="141" customHeight="1" ht="18.75">
      <c r="A141" s="5">
        <f>DATE(2024, 12, 12)</f>
        <v>25569.3125</v>
      </c>
      <c r="B141" s="6">
        <v>73.41</v>
      </c>
    </row>
    <row x14ac:dyDescent="0.25" r="142" customHeight="1" ht="18.75">
      <c r="A142" s="5">
        <f>DATE(2024, 12, 11)</f>
        <v>25569.3125</v>
      </c>
      <c r="B142" s="6">
        <v>73.52</v>
      </c>
    </row>
    <row x14ac:dyDescent="0.25" r="143" customHeight="1" ht="18.75">
      <c r="A143" s="5">
        <f>DATE(2024, 12, 10)</f>
        <v>25569.3125</v>
      </c>
      <c r="B143" s="6">
        <v>72.19</v>
      </c>
    </row>
    <row x14ac:dyDescent="0.25" r="144" customHeight="1" ht="18.75">
      <c r="A144" s="5">
        <f>DATE(2024, 12, 9)</f>
        <v>25569.3125</v>
      </c>
      <c r="B144" s="6">
        <v>72.14</v>
      </c>
    </row>
    <row x14ac:dyDescent="0.25" r="145" customHeight="1" ht="18.75">
      <c r="A145" s="5">
        <f>DATE(2024, 12, 6)</f>
        <v>25569.3125</v>
      </c>
      <c r="B145" s="6">
        <v>71.12</v>
      </c>
    </row>
    <row x14ac:dyDescent="0.25" r="146" customHeight="1" ht="18.75">
      <c r="A146" s="5">
        <f>DATE(2024, 12, 5)</f>
        <v>25569.3125</v>
      </c>
      <c r="B146" s="6">
        <v>72.09</v>
      </c>
    </row>
    <row x14ac:dyDescent="0.25" r="147" customHeight="1" ht="18.75">
      <c r="A147" s="5">
        <f>DATE(2024, 12, 4)</f>
        <v>25569.3125</v>
      </c>
      <c r="B147" s="6">
        <v>72.31</v>
      </c>
    </row>
    <row x14ac:dyDescent="0.25" r="148" customHeight="1" ht="18.75">
      <c r="A148" s="5">
        <f>DATE(2024, 12, 3)</f>
        <v>25569.3125</v>
      </c>
      <c r="B148" s="6">
        <v>73.62</v>
      </c>
    </row>
    <row x14ac:dyDescent="0.25" r="149" customHeight="1" ht="18.75">
      <c r="A149" s="5">
        <f>DATE(2024, 12, 2)</f>
        <v>25569.3125</v>
      </c>
      <c r="B149" s="6">
        <v>71.83</v>
      </c>
    </row>
    <row x14ac:dyDescent="0.25" r="150" customHeight="1" ht="18.75">
      <c r="A150" s="5">
        <f>DATE(2024, 11, 29)</f>
        <v>25569.3125</v>
      </c>
      <c r="B150" s="6">
        <v>72.94</v>
      </c>
    </row>
    <row x14ac:dyDescent="0.25" r="151" customHeight="1" ht="18.75">
      <c r="A151" s="5">
        <f>DATE(2024, 11, 28)</f>
        <v>25569.3125</v>
      </c>
      <c r="B151" s="6">
        <v>73.28</v>
      </c>
    </row>
    <row x14ac:dyDescent="0.25" r="152" customHeight="1" ht="18.75">
      <c r="A152" s="5">
        <f>DATE(2024, 11, 27)</f>
        <v>25569.3125</v>
      </c>
      <c r="B152" s="6">
        <v>72.83</v>
      </c>
    </row>
    <row x14ac:dyDescent="0.25" r="153" customHeight="1" ht="18.75">
      <c r="A153" s="5">
        <f>DATE(2024, 11, 26)</f>
        <v>25569.3125</v>
      </c>
      <c r="B153" s="6">
        <v>72.81</v>
      </c>
    </row>
    <row x14ac:dyDescent="0.25" r="154" customHeight="1" ht="18.75">
      <c r="A154" s="5">
        <f>DATE(2024, 11, 25)</f>
        <v>25569.3125</v>
      </c>
      <c r="B154" s="6">
        <v>73.01</v>
      </c>
    </row>
    <row x14ac:dyDescent="0.25" r="155" customHeight="1" ht="18.75">
      <c r="A155" s="5">
        <f>DATE(2024, 11, 22)</f>
        <v>25569.3125</v>
      </c>
      <c r="B155" s="6">
        <v>75.17</v>
      </c>
    </row>
    <row x14ac:dyDescent="0.25" r="156" customHeight="1" ht="18.75">
      <c r="A156" s="5">
        <f>DATE(2024, 11, 21)</f>
        <v>25569.3125</v>
      </c>
      <c r="B156" s="6">
        <v>74.23</v>
      </c>
    </row>
    <row x14ac:dyDescent="0.25" r="157" customHeight="1" ht="18.75">
      <c r="A157" s="5">
        <f>DATE(2024, 11, 20)</f>
        <v>25569.3125</v>
      </c>
      <c r="B157" s="6">
        <v>72.81</v>
      </c>
    </row>
    <row x14ac:dyDescent="0.25" r="158" customHeight="1" ht="18.75">
      <c r="A158" s="5">
        <f>DATE(2024, 11, 19)</f>
        <v>25569.3125</v>
      </c>
      <c r="B158" s="6">
        <v>73.31</v>
      </c>
    </row>
    <row x14ac:dyDescent="0.25" r="159" customHeight="1" ht="18.75">
      <c r="A159" s="5">
        <f>DATE(2024, 11, 18)</f>
        <v>25569.3125</v>
      </c>
      <c r="B159" s="6">
        <v>73.3</v>
      </c>
    </row>
    <row x14ac:dyDescent="0.25" r="160" customHeight="1" ht="18.75">
      <c r="A160" s="5">
        <f>DATE(2024, 11, 15)</f>
        <v>25569.3125</v>
      </c>
      <c r="B160" s="6">
        <v>71.04</v>
      </c>
    </row>
    <row x14ac:dyDescent="0.25" r="161" customHeight="1" ht="18.75">
      <c r="A161" s="5">
        <f>DATE(2024, 11, 14)</f>
        <v>25569.3125</v>
      </c>
      <c r="B161" s="6">
        <v>72.56</v>
      </c>
    </row>
    <row x14ac:dyDescent="0.25" r="162" customHeight="1" ht="18.75">
      <c r="A162" s="5">
        <f>DATE(2024, 11, 13)</f>
        <v>25569.3125</v>
      </c>
      <c r="B162" s="6">
        <v>72.28</v>
      </c>
    </row>
    <row x14ac:dyDescent="0.25" r="163" customHeight="1" ht="18.75">
      <c r="A163" s="5">
        <f>DATE(2024, 11, 12)</f>
        <v>25569.3125</v>
      </c>
      <c r="B163" s="6">
        <v>71.89</v>
      </c>
    </row>
    <row x14ac:dyDescent="0.25" r="164" customHeight="1" ht="18.75">
      <c r="A164" s="5">
        <f>DATE(2024, 11, 11)</f>
        <v>25569.3125</v>
      </c>
      <c r="B164" s="6">
        <v>71.83</v>
      </c>
    </row>
    <row x14ac:dyDescent="0.25" r="165" customHeight="1" ht="18.75">
      <c r="A165" s="5">
        <f>DATE(2024, 11, 8)</f>
        <v>25569.3125</v>
      </c>
      <c r="B165" s="6">
        <v>73.87</v>
      </c>
    </row>
    <row x14ac:dyDescent="0.25" r="166" customHeight="1" ht="18.75">
      <c r="A166" s="5">
        <f>DATE(2024, 11, 7)</f>
        <v>25569.3125</v>
      </c>
      <c r="B166" s="6">
        <v>75.63</v>
      </c>
    </row>
    <row x14ac:dyDescent="0.25" r="167" customHeight="1" ht="18.75">
      <c r="A167" s="5">
        <f>DATE(2024, 11, 6)</f>
        <v>25569.3125</v>
      </c>
      <c r="B167" s="6">
        <v>74.92</v>
      </c>
    </row>
    <row x14ac:dyDescent="0.25" r="168" customHeight="1" ht="18.75">
      <c r="A168" s="5">
        <f>DATE(2024, 11, 5)</f>
        <v>25569.3125</v>
      </c>
      <c r="B168" s="6">
        <v>75.53</v>
      </c>
    </row>
    <row x14ac:dyDescent="0.25" r="169" customHeight="1" ht="18.75">
      <c r="A169" s="5">
        <f>DATE(2024, 11, 4)</f>
        <v>25569.3125</v>
      </c>
      <c r="B169" s="6">
        <v>75.08</v>
      </c>
    </row>
    <row x14ac:dyDescent="0.25" r="170" customHeight="1" ht="18.75">
      <c r="A170" s="5">
        <f>DATE(2024, 11, 1)</f>
        <v>25569.3125</v>
      </c>
      <c r="B170" s="6">
        <v>73.1</v>
      </c>
    </row>
    <row x14ac:dyDescent="0.25" r="171" customHeight="1" ht="18.75">
      <c r="A171" s="5">
        <f>DATE(2024, 10, 31)</f>
        <v>25569.3125</v>
      </c>
      <c r="B171" s="6">
        <v>73.16</v>
      </c>
    </row>
    <row x14ac:dyDescent="0.25" r="172" customHeight="1" ht="18.75">
      <c r="A172" s="5">
        <f>DATE(2024, 10, 30)</f>
        <v>25569.3125</v>
      </c>
      <c r="B172" s="6">
        <v>72.55</v>
      </c>
    </row>
    <row x14ac:dyDescent="0.25" r="173" customHeight="1" ht="18.75">
      <c r="A173" s="5">
        <f>DATE(2024, 10, 29)</f>
        <v>25569.3125</v>
      </c>
      <c r="B173" s="6">
        <v>71.12</v>
      </c>
    </row>
    <row x14ac:dyDescent="0.25" r="174" customHeight="1" ht="18.75">
      <c r="A174" s="5">
        <f>DATE(2024, 10, 28)</f>
        <v>25569.3125</v>
      </c>
      <c r="B174" s="6">
        <v>71.42</v>
      </c>
    </row>
    <row x14ac:dyDescent="0.25" r="175" customHeight="1" ht="18.75">
      <c r="A175" s="5">
        <f>DATE(2024, 10, 25)</f>
        <v>25569.3125</v>
      </c>
      <c r="B175" s="6">
        <v>76.05</v>
      </c>
    </row>
    <row x14ac:dyDescent="0.25" r="176" customHeight="1" ht="18.75">
      <c r="A176" s="5">
        <f>DATE(2024, 10, 24)</f>
        <v>25569.3125</v>
      </c>
      <c r="B176" s="6">
        <v>74.38</v>
      </c>
    </row>
    <row x14ac:dyDescent="0.25" r="177" customHeight="1" ht="18.75">
      <c r="A177" s="5">
        <f>DATE(2024, 10, 23)</f>
        <v>25569.3125</v>
      </c>
      <c r="B177" s="6">
        <v>74.96</v>
      </c>
    </row>
    <row x14ac:dyDescent="0.25" r="178" customHeight="1" ht="18.75">
      <c r="A178" s="5">
        <f>DATE(2024, 10, 22)</f>
        <v>25569.3125</v>
      </c>
      <c r="B178" s="6">
        <v>76.04</v>
      </c>
    </row>
    <row x14ac:dyDescent="0.25" r="179" customHeight="1" ht="18.75">
      <c r="A179" s="5">
        <f>DATE(2024, 10, 21)</f>
        <v>25569.3125</v>
      </c>
      <c r="B179" s="6">
        <v>74.29</v>
      </c>
    </row>
    <row x14ac:dyDescent="0.25" r="180" customHeight="1" ht="18.75">
      <c r="A180" s="5">
        <f>DATE(2024, 10, 18)</f>
        <v>25569.3125</v>
      </c>
      <c r="B180" s="6">
        <v>73.06</v>
      </c>
    </row>
    <row x14ac:dyDescent="0.25" r="181" customHeight="1" ht="18.75">
      <c r="A181" s="5">
        <f>DATE(2024, 10, 17)</f>
        <v>25569.3125</v>
      </c>
      <c r="B181" s="6">
        <v>74.45</v>
      </c>
    </row>
    <row x14ac:dyDescent="0.25" r="182" customHeight="1" ht="18.75">
      <c r="A182" s="5">
        <f>DATE(2024, 10, 16)</f>
        <v>25569.3125</v>
      </c>
      <c r="B182" s="6">
        <v>74.22</v>
      </c>
    </row>
    <row x14ac:dyDescent="0.25" r="183" customHeight="1" ht="18.75">
      <c r="A183" s="5">
        <f>DATE(2024, 10, 15)</f>
        <v>25569.3125</v>
      </c>
      <c r="B183" s="6">
        <v>74.25</v>
      </c>
    </row>
    <row x14ac:dyDescent="0.25" r="184" customHeight="1" ht="18.75">
      <c r="A184" s="5">
        <f>DATE(2024, 10, 14)</f>
        <v>25569.3125</v>
      </c>
      <c r="B184" s="6">
        <v>77.46</v>
      </c>
    </row>
    <row x14ac:dyDescent="0.25" r="185" customHeight="1" ht="18.75">
      <c r="A185" s="5">
        <f>DATE(2024, 10, 11)</f>
        <v>25569.3125</v>
      </c>
      <c r="B185" s="6">
        <v>79.04</v>
      </c>
    </row>
    <row x14ac:dyDescent="0.25" r="186" customHeight="1" ht="18.75">
      <c r="A186" s="5">
        <f>DATE(2024, 10, 10)</f>
        <v>25569.3125</v>
      </c>
      <c r="B186" s="6">
        <v>79.4</v>
      </c>
    </row>
    <row x14ac:dyDescent="0.25" r="187" customHeight="1" ht="18.75">
      <c r="A187" s="5">
        <f>DATE(2024, 10, 9)</f>
        <v>25569.3125</v>
      </c>
      <c r="B187" s="6">
        <v>76.58</v>
      </c>
    </row>
    <row x14ac:dyDescent="0.25" r="188" customHeight="1" ht="18.75">
      <c r="A188" s="5">
        <f>DATE(2024, 10, 8)</f>
        <v>25569.3125</v>
      </c>
      <c r="B188" s="6">
        <v>77.18</v>
      </c>
    </row>
    <row x14ac:dyDescent="0.25" r="189" customHeight="1" ht="18.75">
      <c r="A189" s="5">
        <f>DATE(2024, 10, 7)</f>
        <v>25569.3125</v>
      </c>
      <c r="B189" s="6">
        <v>80.93</v>
      </c>
    </row>
    <row x14ac:dyDescent="0.25" r="190" customHeight="1" ht="18.75">
      <c r="A190" s="5">
        <f>DATE(2024, 10, 4)</f>
        <v>25569.3125</v>
      </c>
      <c r="B190" s="6">
        <v>78.05</v>
      </c>
    </row>
    <row x14ac:dyDescent="0.25" r="191" customHeight="1" ht="18.75">
      <c r="A191" s="5">
        <f>DATE(2024, 10, 3)</f>
        <v>25569.3125</v>
      </c>
      <c r="B191" s="6">
        <v>77.62</v>
      </c>
    </row>
    <row x14ac:dyDescent="0.25" r="192" customHeight="1" ht="18.75">
      <c r="A192" s="5">
        <f>DATE(2024, 10, 2)</f>
        <v>25569.3125</v>
      </c>
      <c r="B192" s="6">
        <v>73.9</v>
      </c>
    </row>
    <row x14ac:dyDescent="0.25" r="193" customHeight="1" ht="18.75">
      <c r="A193" s="5">
        <f>DATE(2024, 10, 1)</f>
        <v>25569.3125</v>
      </c>
      <c r="B193" s="6">
        <v>73.56</v>
      </c>
    </row>
    <row x14ac:dyDescent="0.25" r="194" customHeight="1" ht="18.75">
      <c r="A194" s="5">
        <f>DATE(2024, 9, 30)</f>
        <v>25569.3125</v>
      </c>
      <c r="B194" s="6">
        <v>71.77</v>
      </c>
    </row>
    <row x14ac:dyDescent="0.25" r="195" customHeight="1" ht="18.75">
      <c r="A195" s="5">
        <f>DATE(2024, 9, 27)</f>
        <v>25569.3125</v>
      </c>
      <c r="B195" s="6">
        <v>71.98</v>
      </c>
    </row>
    <row x14ac:dyDescent="0.25" r="196" customHeight="1" ht="18.75">
      <c r="A196" s="5">
        <f>DATE(2024, 9, 26)</f>
        <v>25569.3125</v>
      </c>
      <c r="B196" s="6">
        <v>71.6</v>
      </c>
    </row>
    <row x14ac:dyDescent="0.25" r="197" customHeight="1" ht="18.75">
      <c r="A197" s="5">
        <f>DATE(2024, 9, 25)</f>
        <v>25569.3125</v>
      </c>
      <c r="B197" s="6">
        <v>73.46</v>
      </c>
    </row>
    <row x14ac:dyDescent="0.25" r="198" customHeight="1" ht="18.75">
      <c r="A198" s="5">
        <f>DATE(2024, 9, 24)</f>
        <v>25569.3125</v>
      </c>
      <c r="B198" s="6">
        <v>75.17</v>
      </c>
    </row>
    <row x14ac:dyDescent="0.25" r="199" customHeight="1" ht="18.75">
      <c r="A199" s="5">
        <f>DATE(2024, 9, 23)</f>
        <v>25569.3125</v>
      </c>
      <c r="B199" s="6">
        <v>73.9</v>
      </c>
    </row>
    <row x14ac:dyDescent="0.25" r="200" customHeight="1" ht="18.75">
      <c r="A200" s="5">
        <f>DATE(2024, 9, 20)</f>
        <v>25569.3125</v>
      </c>
      <c r="B200" s="6">
        <v>74.49</v>
      </c>
    </row>
    <row x14ac:dyDescent="0.25" r="201" customHeight="1" ht="18.75">
      <c r="A201" s="5">
        <f>DATE(2024, 9, 19)</f>
        <v>25569.3125</v>
      </c>
      <c r="B201" s="6">
        <v>74.88</v>
      </c>
    </row>
    <row x14ac:dyDescent="0.25" r="202" customHeight="1" ht="18.75">
      <c r="A202" s="5">
        <f>DATE(2024, 9, 18)</f>
        <v>25569.3125</v>
      </c>
      <c r="B202" s="6">
        <v>73.65</v>
      </c>
    </row>
    <row x14ac:dyDescent="0.25" r="203" customHeight="1" ht="18.75">
      <c r="A203" s="5">
        <f>DATE(2024, 9, 17)</f>
        <v>25569.3125</v>
      </c>
      <c r="B203" s="6">
        <v>73.7</v>
      </c>
    </row>
    <row x14ac:dyDescent="0.25" r="204" customHeight="1" ht="18.75">
      <c r="A204" s="5">
        <f>DATE(2024, 9, 16)</f>
        <v>25569.3125</v>
      </c>
      <c r="B204" s="6">
        <v>72.75</v>
      </c>
    </row>
    <row x14ac:dyDescent="0.25" r="205" customHeight="1" ht="18.75">
      <c r="A205" s="5">
        <f>DATE(2024, 9, 13)</f>
        <v>25569.3125</v>
      </c>
      <c r="B205" s="6">
        <v>71.61</v>
      </c>
    </row>
    <row x14ac:dyDescent="0.25" r="206" customHeight="1" ht="18.75">
      <c r="A206" s="5">
        <f>DATE(2024, 9, 12)</f>
        <v>25569.3125</v>
      </c>
      <c r="B206" s="6">
        <v>71.97</v>
      </c>
    </row>
    <row x14ac:dyDescent="0.25" r="207" customHeight="1" ht="18.75">
      <c r="A207" s="5">
        <f>DATE(2024, 9, 11)</f>
        <v>25569.3125</v>
      </c>
      <c r="B207" s="6">
        <v>70.61</v>
      </c>
    </row>
    <row x14ac:dyDescent="0.25" r="208" customHeight="1" ht="18.75">
      <c r="A208" s="5">
        <f>DATE(2024, 9, 10)</f>
        <v>25569.3125</v>
      </c>
      <c r="B208" s="6">
        <v>69.19</v>
      </c>
    </row>
    <row x14ac:dyDescent="0.25" r="209" customHeight="1" ht="18.75">
      <c r="A209" s="5">
        <f>DATE(2024, 9, 9)</f>
        <v>25569.3125</v>
      </c>
      <c r="B209" s="6">
        <v>71.84</v>
      </c>
    </row>
    <row x14ac:dyDescent="0.25" r="210" customHeight="1" ht="18.75">
      <c r="A210" s="5">
        <f>DATE(2024, 9, 6)</f>
        <v>25569.3125</v>
      </c>
      <c r="B210" s="6">
        <v>71.06</v>
      </c>
    </row>
    <row x14ac:dyDescent="0.25" r="211" customHeight="1" ht="18.75">
      <c r="A211" s="5">
        <f>DATE(2024, 9, 5)</f>
        <v>25569.3125</v>
      </c>
      <c r="B211" s="6">
        <v>72.69</v>
      </c>
    </row>
    <row x14ac:dyDescent="0.25" r="212" customHeight="1" ht="18.75">
      <c r="A212" s="5">
        <f>DATE(2024, 9, 4)</f>
        <v>25569.3125</v>
      </c>
      <c r="B212" s="6">
        <v>72.7</v>
      </c>
    </row>
    <row x14ac:dyDescent="0.25" r="213" customHeight="1" ht="18.75">
      <c r="A213" s="5">
        <f>DATE(2024, 9, 3)</f>
        <v>25569.3125</v>
      </c>
      <c r="B213" s="6">
        <v>73.75</v>
      </c>
    </row>
    <row x14ac:dyDescent="0.25" r="214" customHeight="1" ht="18.75">
      <c r="A214" s="5">
        <f>DATE(2024, 9, 2)</f>
        <v>25569.3125</v>
      </c>
      <c r="B214" s="6">
        <v>77.52</v>
      </c>
    </row>
    <row x14ac:dyDescent="0.25" r="215" customHeight="1" ht="18.75">
      <c r="A215" s="5">
        <f>DATE(2024, 8, 30)</f>
        <v>25569.3125</v>
      </c>
      <c r="B215" s="6">
        <v>78.8</v>
      </c>
    </row>
    <row x14ac:dyDescent="0.25" r="216" customHeight="1" ht="18.75">
      <c r="A216" s="5">
        <f>DATE(2024, 8, 29)</f>
        <v>25569.3125</v>
      </c>
      <c r="B216" s="6">
        <v>79.94</v>
      </c>
    </row>
    <row x14ac:dyDescent="0.25" r="217" customHeight="1" ht="18.75">
      <c r="A217" s="5">
        <f>DATE(2024, 8, 28)</f>
        <v>25569.3125</v>
      </c>
      <c r="B217" s="6">
        <v>78.65</v>
      </c>
    </row>
    <row x14ac:dyDescent="0.25" r="218" customHeight="1" ht="18.75">
      <c r="A218" s="5">
        <f>DATE(2024, 8, 27)</f>
        <v>25569.3125</v>
      </c>
      <c r="B218" s="6">
        <v>79.55</v>
      </c>
    </row>
    <row x14ac:dyDescent="0.25" r="219" customHeight="1" ht="18.75">
      <c r="A219" s="5">
        <f>DATE(2024, 8, 26)</f>
        <v>25569.3125</v>
      </c>
      <c r="B219" s="6">
        <v>81.43</v>
      </c>
    </row>
    <row x14ac:dyDescent="0.25" r="220" customHeight="1" ht="18.75">
      <c r="A220" s="5">
        <f>DATE(2024, 8, 23)</f>
        <v>25569.3125</v>
      </c>
      <c r="B220" s="6">
        <v>79.02</v>
      </c>
    </row>
    <row x14ac:dyDescent="0.25" r="221" customHeight="1" ht="18.75">
      <c r="A221" s="5">
        <f>DATE(2024, 8, 22)</f>
        <v>25569.3125</v>
      </c>
      <c r="B221" s="6">
        <v>77.22</v>
      </c>
    </row>
    <row x14ac:dyDescent="0.25" r="222" customHeight="1" ht="18.75">
      <c r="A222" s="5">
        <f>DATE(2024, 8, 21)</f>
        <v>25569.3125</v>
      </c>
      <c r="B222" s="6">
        <v>76.05</v>
      </c>
    </row>
    <row x14ac:dyDescent="0.25" r="223" customHeight="1" ht="18.75">
      <c r="A223" s="5">
        <f>DATE(2024, 8, 20)</f>
        <v>25569.3125</v>
      </c>
      <c r="B223" s="6">
        <v>77.2</v>
      </c>
    </row>
    <row x14ac:dyDescent="0.25" r="224" customHeight="1" ht="18.75">
      <c r="A224" s="5">
        <f>DATE(2024, 8, 19)</f>
        <v>25569.3125</v>
      </c>
      <c r="B224" s="6">
        <v>77.66</v>
      </c>
    </row>
    <row x14ac:dyDescent="0.25" r="225" customHeight="1" ht="18.75">
      <c r="A225" s="5">
        <f>DATE(2024, 8, 16)</f>
        <v>25569.3125</v>
      </c>
      <c r="B225" s="6">
        <v>79.68</v>
      </c>
    </row>
    <row x14ac:dyDescent="0.25" r="226" customHeight="1" ht="18.75">
      <c r="A226" s="5">
        <f>DATE(2024, 8, 15)</f>
        <v>25569.3125</v>
      </c>
      <c r="B226" s="6">
        <v>81.04</v>
      </c>
    </row>
    <row x14ac:dyDescent="0.25" r="227" customHeight="1" ht="18.75">
      <c r="A227" s="5">
        <f>DATE(2024, 8, 14)</f>
        <v>25569.3125</v>
      </c>
      <c r="B227" s="6">
        <v>79.76</v>
      </c>
    </row>
    <row x14ac:dyDescent="0.25" r="228" customHeight="1" ht="18.75">
      <c r="A228" s="5">
        <f>DATE(2024, 8, 13)</f>
        <v>25569.3125</v>
      </c>
      <c r="B228" s="6">
        <v>80.69</v>
      </c>
    </row>
    <row x14ac:dyDescent="0.25" r="229" customHeight="1" ht="18.75">
      <c r="A229" s="5">
        <f>DATE(2024, 8, 12)</f>
        <v>25569.3125</v>
      </c>
      <c r="B229" s="6">
        <v>82.3</v>
      </c>
    </row>
    <row x14ac:dyDescent="0.25" r="230" customHeight="1" ht="18.75">
      <c r="A230" s="5">
        <f>DATE(2024, 8, 9)</f>
        <v>25569.3125</v>
      </c>
      <c r="B230" s="6">
        <v>79.66</v>
      </c>
    </row>
    <row x14ac:dyDescent="0.25" r="231" customHeight="1" ht="18.75">
      <c r="A231" s="5">
        <f>DATE(2024, 8, 8)</f>
        <v>25569.3125</v>
      </c>
      <c r="B231" s="6">
        <v>79.16</v>
      </c>
    </row>
    <row x14ac:dyDescent="0.25" r="232" customHeight="1" ht="18.75">
      <c r="A232" s="5">
        <f>DATE(2024, 8, 7)</f>
        <v>25569.3125</v>
      </c>
      <c r="B232" s="6">
        <v>78.33</v>
      </c>
    </row>
    <row x14ac:dyDescent="0.25" r="233" customHeight="1" ht="18.75">
      <c r="A233" s="5">
        <f>DATE(2024, 8, 6)</f>
        <v>25569.3125</v>
      </c>
      <c r="B233" s="6">
        <v>76.48</v>
      </c>
    </row>
    <row x14ac:dyDescent="0.25" r="234" customHeight="1" ht="18.75">
      <c r="A234" s="5">
        <f>DATE(2024, 8, 5)</f>
        <v>25569.3125</v>
      </c>
      <c r="B234" s="6">
        <v>76.3</v>
      </c>
    </row>
    <row x14ac:dyDescent="0.25" r="235" customHeight="1" ht="18.75">
      <c r="A235" s="5">
        <f>DATE(2024, 8, 2)</f>
        <v>25569.3125</v>
      </c>
      <c r="B235" s="6">
        <v>76.81</v>
      </c>
    </row>
    <row x14ac:dyDescent="0.25" r="236" customHeight="1" ht="18.75">
      <c r="A236" s="5">
        <f>DATE(2024, 8, 1)</f>
        <v>25569.3125</v>
      </c>
      <c r="B236" s="6">
        <v>79.52</v>
      </c>
    </row>
    <row x14ac:dyDescent="0.25" r="237" customHeight="1" ht="18.75">
      <c r="A237" s="5">
        <f>DATE(2024, 7, 31)</f>
        <v>25569.3125</v>
      </c>
      <c r="B237" s="6">
        <v>80.72</v>
      </c>
    </row>
    <row x14ac:dyDescent="0.25" r="238" customHeight="1" ht="18.75">
      <c r="A238" s="5">
        <f>DATE(2024, 7, 30)</f>
        <v>25569.3125</v>
      </c>
      <c r="B238" s="6">
        <v>78.63</v>
      </c>
    </row>
    <row x14ac:dyDescent="0.25" r="239" customHeight="1" ht="18.75">
      <c r="A239" s="5">
        <f>DATE(2024, 7, 29)</f>
        <v>25569.3125</v>
      </c>
      <c r="B239" s="6">
        <v>79.78</v>
      </c>
    </row>
    <row x14ac:dyDescent="0.25" r="240" customHeight="1" ht="18.75">
      <c r="A240" s="5">
        <f>DATE(2024, 7, 26)</f>
        <v>25569.3125</v>
      </c>
      <c r="B240" s="6">
        <v>81.13</v>
      </c>
    </row>
    <row x14ac:dyDescent="0.25" r="241" customHeight="1" ht="18.75">
      <c r="A241" s="5">
        <f>DATE(2024, 7, 25)</f>
        <v>25569.3125</v>
      </c>
      <c r="B241" s="6">
        <v>82.37</v>
      </c>
    </row>
    <row x14ac:dyDescent="0.25" r="242" customHeight="1" ht="18.75">
      <c r="A242" s="5">
        <f>DATE(2024, 7, 24)</f>
        <v>25569.3125</v>
      </c>
      <c r="B242" s="6">
        <v>81.71</v>
      </c>
    </row>
    <row x14ac:dyDescent="0.25" r="243" customHeight="1" ht="18.75">
      <c r="A243" s="5">
        <f>DATE(2024, 7, 23)</f>
        <v>25569.3125</v>
      </c>
      <c r="B243" s="6">
        <v>81.01</v>
      </c>
    </row>
    <row x14ac:dyDescent="0.25" r="244" customHeight="1" ht="18.75">
      <c r="A244" s="5">
        <f>DATE(2024, 7, 22)</f>
        <v>25569.3125</v>
      </c>
      <c r="B244" s="6">
        <v>82.4</v>
      </c>
    </row>
    <row x14ac:dyDescent="0.25" r="245" customHeight="1" ht="18.75">
      <c r="A245" s="5">
        <f>DATE(2024, 7, 19)</f>
        <v>25569.3125</v>
      </c>
      <c r="B245" s="6">
        <v>82.63</v>
      </c>
    </row>
    <row x14ac:dyDescent="0.25" r="246" customHeight="1" ht="18.75">
      <c r="A246" s="5">
        <f>DATE(2024, 7, 18)</f>
        <v>25569.3125</v>
      </c>
      <c r="B246" s="6">
        <v>85.11</v>
      </c>
    </row>
    <row x14ac:dyDescent="0.25" r="247" customHeight="1" ht="18.75">
      <c r="A247" s="5">
        <f>DATE(2024, 7, 17)</f>
        <v>25569.3125</v>
      </c>
      <c r="B247" s="6">
        <v>85.08</v>
      </c>
    </row>
    <row x14ac:dyDescent="0.25" r="248" customHeight="1" ht="18.75">
      <c r="A248" s="5">
        <f>DATE(2024, 7, 16)</f>
        <v>25569.3125</v>
      </c>
      <c r="B248" s="6">
        <v>83.73</v>
      </c>
    </row>
    <row x14ac:dyDescent="0.25" r="249" customHeight="1" ht="18.75">
      <c r="A249" s="5">
        <f>DATE(2024, 7, 15)</f>
        <v>25569.3125</v>
      </c>
      <c r="B249" s="6">
        <v>84.85</v>
      </c>
    </row>
    <row x14ac:dyDescent="0.25" r="250" customHeight="1" ht="18.75">
      <c r="A250" s="5">
        <f>DATE(2024, 7, 12)</f>
        <v>25569.3125</v>
      </c>
      <c r="B250" s="6">
        <v>85.03</v>
      </c>
    </row>
    <row x14ac:dyDescent="0.25" r="251" customHeight="1" ht="18.75">
      <c r="A251" s="5">
        <f>DATE(2024, 7, 11)</f>
        <v>25569.3125</v>
      </c>
      <c r="B251" s="6">
        <v>85.4</v>
      </c>
    </row>
    <row x14ac:dyDescent="0.25" r="252" customHeight="1" ht="18.75">
      <c r="A252" s="5">
        <f>DATE(2024, 7, 10)</f>
        <v>25569.3125</v>
      </c>
      <c r="B252" s="6">
        <v>85.08</v>
      </c>
    </row>
    <row x14ac:dyDescent="0.25" r="253" customHeight="1" ht="18.75">
      <c r="A253" s="5">
        <f>DATE(2024, 7, 9)</f>
        <v>25569.3125</v>
      </c>
      <c r="B253" s="6">
        <v>84.66</v>
      </c>
    </row>
    <row x14ac:dyDescent="0.25" r="254" customHeight="1" ht="18.75">
      <c r="A254" s="5">
        <f>DATE(2024, 7, 8)</f>
        <v>25569.3125</v>
      </c>
      <c r="B254" s="6">
        <v>85.75</v>
      </c>
    </row>
    <row x14ac:dyDescent="0.25" r="255" customHeight="1" ht="18.75">
      <c r="A255" s="5">
        <f>DATE(2024, 7, 5)</f>
        <v>25569.3125</v>
      </c>
      <c r="B255" s="6">
        <v>86.54</v>
      </c>
    </row>
    <row x14ac:dyDescent="0.25" r="256" customHeight="1" ht="18.75">
      <c r="A256" s="5">
        <f>DATE(2024, 7, 4)</f>
        <v>25569.3125</v>
      </c>
      <c r="B256" s="6">
        <v>87.43</v>
      </c>
    </row>
    <row x14ac:dyDescent="0.25" r="257" customHeight="1" ht="18.75">
      <c r="A257" s="5">
        <f>DATE(2024, 7, 3)</f>
        <v>25569.3125</v>
      </c>
      <c r="B257" s="6">
        <v>87.34</v>
      </c>
    </row>
    <row x14ac:dyDescent="0.25" r="258" customHeight="1" ht="18.75">
      <c r="A258" s="5">
        <f>DATE(2024, 7, 2)</f>
        <v>25569.3125</v>
      </c>
      <c r="B258" s="6">
        <v>86.24</v>
      </c>
    </row>
    <row x14ac:dyDescent="0.25" r="259" customHeight="1" ht="18.75">
      <c r="A259" s="5">
        <f>DATE(2024, 7, 1)</f>
        <v>25569.3125</v>
      </c>
      <c r="B259" s="6">
        <v>86.6</v>
      </c>
    </row>
    <row x14ac:dyDescent="0.25" r="260" customHeight="1" ht="18.75">
      <c r="A260" s="5">
        <f>DATE(2024, 6, 28)</f>
        <v>25569.3125</v>
      </c>
      <c r="B260" s="6">
        <v>86.41</v>
      </c>
    </row>
    <row x14ac:dyDescent="0.25" r="261" customHeight="1" ht="18.75">
      <c r="A261" s="5">
        <f>DATE(2024, 6, 27)</f>
        <v>25569.3125</v>
      </c>
      <c r="B261" s="6">
        <v>86.39</v>
      </c>
    </row>
    <row x14ac:dyDescent="0.25" r="262" customHeight="1" ht="18.75">
      <c r="A262" s="5">
        <f>DATE(2024, 6, 26)</f>
        <v>25569.3125</v>
      </c>
      <c r="B262" s="6">
        <v>85.25</v>
      </c>
    </row>
    <row x14ac:dyDescent="0.25" r="263" customHeight="1" ht="18.75">
      <c r="A263" s="5">
        <f>DATE(2024, 6, 25)</f>
        <v>25569.3125</v>
      </c>
      <c r="B263" s="6">
        <v>85.01</v>
      </c>
    </row>
    <row x14ac:dyDescent="0.25" r="264" customHeight="1" ht="18.75">
      <c r="A264" s="5">
        <f>DATE(2024, 6, 24)</f>
        <v>25569.3125</v>
      </c>
      <c r="B264" s="6">
        <v>86.01</v>
      </c>
    </row>
    <row x14ac:dyDescent="0.25" r="265" customHeight="1" ht="18.75">
      <c r="A265" s="5">
        <f>DATE(2024, 6, 21)</f>
        <v>25569.3125</v>
      </c>
      <c r="B265" s="6">
        <v>85.24</v>
      </c>
    </row>
    <row x14ac:dyDescent="0.25" r="266" customHeight="1" ht="18.75">
      <c r="A266" s="5">
        <f>DATE(2024, 6, 20)</f>
        <v>25569.3125</v>
      </c>
      <c r="B266" s="6">
        <v>85.71</v>
      </c>
    </row>
    <row x14ac:dyDescent="0.25" r="267" customHeight="1" ht="18.75">
      <c r="A267" s="5">
        <f>DATE(2024, 6, 19)</f>
        <v>25569.3125</v>
      </c>
      <c r="B267" s="6">
        <v>85.07</v>
      </c>
    </row>
    <row x14ac:dyDescent="0.25" r="268" customHeight="1" ht="18.75">
      <c r="A268" s="5">
        <f>DATE(2024, 6, 18)</f>
        <v>25569.3125</v>
      </c>
      <c r="B268" s="6">
        <v>85.33</v>
      </c>
    </row>
    <row x14ac:dyDescent="0.25" r="269" customHeight="1" ht="18.75">
      <c r="A269" s="5">
        <f>DATE(2024, 6, 17)</f>
        <v>25569.3125</v>
      </c>
      <c r="B269" s="6">
        <v>84.25</v>
      </c>
    </row>
    <row x14ac:dyDescent="0.25" r="270" customHeight="1" ht="18.75">
      <c r="A270" s="5">
        <f>DATE(2024, 6, 14)</f>
        <v>25569.3125</v>
      </c>
      <c r="B270" s="6">
        <v>82.62</v>
      </c>
    </row>
    <row x14ac:dyDescent="0.25" r="271" customHeight="1" ht="18.75">
      <c r="A271" s="5">
        <f>DATE(2024, 6, 13)</f>
        <v>25569.3125</v>
      </c>
      <c r="B271" s="6">
        <v>82.75</v>
      </c>
    </row>
    <row x14ac:dyDescent="0.25" r="272" customHeight="1" ht="18.75">
      <c r="A272" s="5">
        <f>DATE(2024, 6, 12)</f>
        <v>25569.3125</v>
      </c>
      <c r="B272" s="6">
        <v>82.6</v>
      </c>
    </row>
    <row x14ac:dyDescent="0.25" r="273" customHeight="1" ht="18.75">
      <c r="A273" s="5">
        <f>DATE(2024, 6, 11)</f>
        <v>25569.3125</v>
      </c>
      <c r="B273" s="6">
        <v>81.92</v>
      </c>
    </row>
    <row x14ac:dyDescent="0.25" r="274" customHeight="1" ht="18.75">
      <c r="A274" s="5">
        <f>DATE(2024, 6, 10)</f>
        <v>25569.3125</v>
      </c>
      <c r="B274" s="6">
        <v>81.63</v>
      </c>
    </row>
    <row x14ac:dyDescent="0.25" r="275" customHeight="1" ht="18.75">
      <c r="A275" s="5">
        <f>DATE(2024, 6, 7)</f>
        <v>25569.3125</v>
      </c>
      <c r="B275" s="6">
        <v>79.62</v>
      </c>
    </row>
    <row x14ac:dyDescent="0.25" r="276" customHeight="1" ht="18.75">
      <c r="A276" s="5">
        <f>DATE(2024, 6, 6)</f>
        <v>25569.3125</v>
      </c>
      <c r="B276" s="6">
        <v>79.87</v>
      </c>
    </row>
    <row x14ac:dyDescent="0.25" r="277" customHeight="1" ht="18.75">
      <c r="A277" s="5">
        <f>DATE(2024, 6, 5)</f>
        <v>25569.3125</v>
      </c>
      <c r="B277" s="6">
        <v>78.41</v>
      </c>
    </row>
    <row x14ac:dyDescent="0.25" r="278" customHeight="1" ht="18.75">
      <c r="A278" s="5">
        <f>DATE(2024, 6, 4)</f>
        <v>25569.3125</v>
      </c>
      <c r="B278" s="6">
        <v>77.52</v>
      </c>
    </row>
    <row x14ac:dyDescent="0.25" r="279" customHeight="1" ht="18.75">
      <c r="A279" s="5">
        <f>DATE(2024, 6, 3)</f>
        <v>25569.3125</v>
      </c>
      <c r="B279" s="6">
        <v>78.36</v>
      </c>
    </row>
    <row x14ac:dyDescent="0.25" r="280" customHeight="1" ht="18.75">
      <c r="A280" s="5">
        <f>DATE(2024, 5, 31)</f>
        <v>25569.3125</v>
      </c>
      <c r="B280" s="6">
        <v>81.62</v>
      </c>
    </row>
    <row x14ac:dyDescent="0.25" r="281" customHeight="1" ht="18.75">
      <c r="A281" s="5">
        <f>DATE(2024, 5, 30)</f>
        <v>25569.3125</v>
      </c>
      <c r="B281" s="6">
        <v>81.86</v>
      </c>
    </row>
    <row x14ac:dyDescent="0.25" r="282" customHeight="1" ht="18.75">
      <c r="A282" s="5">
        <f>DATE(2024, 5, 29)</f>
        <v>25569.3125</v>
      </c>
      <c r="B282" s="6">
        <v>83.6</v>
      </c>
    </row>
    <row x14ac:dyDescent="0.25" r="283" customHeight="1" ht="18.75">
      <c r="A283" s="5">
        <f>DATE(2024, 5, 28)</f>
        <v>25569.3125</v>
      </c>
      <c r="B283" s="6">
        <v>84.22</v>
      </c>
    </row>
    <row x14ac:dyDescent="0.25" r="284" customHeight="1" ht="18.75">
      <c r="A284" s="5">
        <f>DATE(2024, 5, 27)</f>
        <v>25569.3125</v>
      </c>
      <c r="B284" s="6">
        <v>83.1</v>
      </c>
    </row>
    <row x14ac:dyDescent="0.25" r="285" customHeight="1" ht="18.75">
      <c r="A285" s="5">
        <f>DATE(2024, 5, 24)</f>
        <v>25569.3125</v>
      </c>
      <c r="B285" s="6">
        <v>82.12</v>
      </c>
    </row>
    <row x14ac:dyDescent="0.25" r="286" customHeight="1" ht="18.75">
      <c r="A286" s="5">
        <f>DATE(2024, 5, 23)</f>
        <v>25569.3125</v>
      </c>
      <c r="B286" s="6">
        <v>81.36</v>
      </c>
    </row>
    <row x14ac:dyDescent="0.25" r="287" customHeight="1" ht="18.75">
      <c r="A287" s="5">
        <f>DATE(2024, 5, 22)</f>
        <v>25569.3125</v>
      </c>
      <c r="B287" s="6">
        <v>81.9</v>
      </c>
    </row>
    <row x14ac:dyDescent="0.25" r="288" customHeight="1" ht="18.75">
      <c r="A288" s="5">
        <f>DATE(2024, 5, 21)</f>
        <v>25569.3125</v>
      </c>
      <c r="B288" s="6">
        <v>82.88</v>
      </c>
    </row>
    <row x14ac:dyDescent="0.25" r="289" customHeight="1" ht="18.75">
      <c r="A289" s="5">
        <f>DATE(2024, 5, 20)</f>
        <v>25569.3125</v>
      </c>
      <c r="B289" s="6">
        <v>83.71</v>
      </c>
    </row>
    <row x14ac:dyDescent="0.25" r="290" customHeight="1" ht="18.75">
      <c r="A290" s="5">
        <f>DATE(2024, 5, 17)</f>
        <v>25569.3125</v>
      </c>
      <c r="B290" s="6">
        <v>83.98</v>
      </c>
    </row>
    <row x14ac:dyDescent="0.25" r="291" customHeight="1" ht="18.75">
      <c r="A291" s="5">
        <f>DATE(2024, 5, 16)</f>
        <v>25569.3125</v>
      </c>
      <c r="B291" s="6">
        <v>83.27</v>
      </c>
    </row>
    <row x14ac:dyDescent="0.25" r="292" customHeight="1" ht="18.75">
      <c r="A292" s="5">
        <f>DATE(2024, 5, 15)</f>
        <v>25569.3125</v>
      </c>
      <c r="B292" s="6">
        <v>82.75</v>
      </c>
    </row>
    <row x14ac:dyDescent="0.25" r="293" customHeight="1" ht="18.75">
      <c r="A293" s="5">
        <f>DATE(2024, 5, 14)</f>
        <v>25569.3125</v>
      </c>
      <c r="B293" s="6">
        <v>82.38</v>
      </c>
    </row>
    <row x14ac:dyDescent="0.25" r="294" customHeight="1" ht="18.75">
      <c r="A294" s="5">
        <f>DATE(2024, 5, 13)</f>
        <v>25569.3125</v>
      </c>
      <c r="B294" s="6">
        <v>83.36</v>
      </c>
    </row>
    <row x14ac:dyDescent="0.25" r="295" customHeight="1" ht="18.75">
      <c r="A295" s="5">
        <f>DATE(2024, 5, 10)</f>
        <v>25569.3125</v>
      </c>
      <c r="B295" s="6">
        <v>82.79</v>
      </c>
    </row>
    <row x14ac:dyDescent="0.25" r="296" customHeight="1" ht="18.75">
      <c r="A296" s="5">
        <f>DATE(2024, 5, 9)</f>
        <v>25569.3125</v>
      </c>
      <c r="B296" s="6">
        <v>83.88</v>
      </c>
    </row>
    <row x14ac:dyDescent="0.25" r="297" customHeight="1" ht="18.75">
      <c r="A297" s="5">
        <f>DATE(2024, 5, 8)</f>
        <v>25569.3125</v>
      </c>
      <c r="B297" s="6">
        <v>83.58</v>
      </c>
    </row>
    <row x14ac:dyDescent="0.25" r="298" customHeight="1" ht="18.75">
      <c r="A298" s="5">
        <f>DATE(2024, 5, 7)</f>
        <v>25569.3125</v>
      </c>
      <c r="B298" s="6">
        <v>83.16</v>
      </c>
    </row>
    <row x14ac:dyDescent="0.25" r="299" customHeight="1" ht="18.75">
      <c r="A299" s="5">
        <f>DATE(2024, 5, 6)</f>
        <v>25569.3125</v>
      </c>
      <c r="B299" s="6">
        <v>83.33</v>
      </c>
    </row>
    <row x14ac:dyDescent="0.25" r="300" customHeight="1" ht="18.75">
      <c r="A300" s="5">
        <f>DATE(2024, 5, 3)</f>
        <v>25569.3125</v>
      </c>
      <c r="B300" s="6">
        <v>82.96</v>
      </c>
    </row>
    <row x14ac:dyDescent="0.25" r="301" customHeight="1" ht="18.75">
      <c r="A301" s="5">
        <f>DATE(2024, 5, 2)</f>
        <v>25569.3125</v>
      </c>
      <c r="B301" s="6">
        <v>83.67</v>
      </c>
    </row>
    <row x14ac:dyDescent="0.25" r="302" customHeight="1" ht="18.75">
      <c r="A302" s="5">
        <f>DATE(2024, 5, 1)</f>
        <v>25569.3125</v>
      </c>
      <c r="B302" s="6">
        <v>83.44</v>
      </c>
    </row>
    <row x14ac:dyDescent="0.25" r="303" customHeight="1" ht="18.75">
      <c r="A303" s="5">
        <f>DATE(2024, 4, 30)</f>
        <v>25569.3125</v>
      </c>
      <c r="B303" s="6">
        <v>87.86</v>
      </c>
    </row>
    <row x14ac:dyDescent="0.25" r="304" customHeight="1" ht="18.75">
      <c r="A304" s="5">
        <f>DATE(2024, 4, 29)</f>
        <v>25569.3125</v>
      </c>
      <c r="B304" s="6">
        <v>88.4</v>
      </c>
    </row>
    <row x14ac:dyDescent="0.25" r="305" customHeight="1" ht="18.75">
      <c r="A305" s="5">
        <f>DATE(2024, 4, 26)</f>
        <v>25569.3125</v>
      </c>
      <c r="B305" s="6">
        <v>89.5</v>
      </c>
    </row>
    <row x14ac:dyDescent="0.25" r="306" customHeight="1" ht="18.75">
      <c r="A306" s="5">
        <f>DATE(2024, 4, 25)</f>
        <v>25569.3125</v>
      </c>
      <c r="B306" s="6">
        <v>89.01</v>
      </c>
    </row>
    <row x14ac:dyDescent="0.25" r="307" customHeight="1" ht="18.75">
      <c r="A307" s="5">
        <f>DATE(2024, 4, 24)</f>
        <v>25569.3125</v>
      </c>
      <c r="B307" s="6">
        <v>88.02</v>
      </c>
    </row>
    <row x14ac:dyDescent="0.25" r="308" customHeight="1" ht="18.75">
      <c r="A308" s="5">
        <f>DATE(2024, 4, 23)</f>
        <v>25569.3125</v>
      </c>
      <c r="B308" s="6">
        <v>88.42</v>
      </c>
    </row>
    <row x14ac:dyDescent="0.25" r="309" customHeight="1" ht="18.75">
      <c r="A309" s="5">
        <f>DATE(2024, 4, 22)</f>
        <v>25569.3125</v>
      </c>
      <c r="B309" s="6">
        <v>87</v>
      </c>
    </row>
    <row x14ac:dyDescent="0.25" r="310" customHeight="1" ht="18.75">
      <c r="A310" s="5">
        <f>DATE(2024, 4, 19)</f>
        <v>25569.3125</v>
      </c>
      <c r="B310" s="6">
        <v>87.29</v>
      </c>
    </row>
    <row x14ac:dyDescent="0.25" r="311" customHeight="1" ht="18.75">
      <c r="A311" s="5">
        <f>DATE(2024, 4, 18)</f>
        <v>25569.3125</v>
      </c>
      <c r="B311" s="6">
        <v>87.11</v>
      </c>
    </row>
    <row x14ac:dyDescent="0.25" r="312" customHeight="1" ht="18.75">
      <c r="A312" s="5">
        <f>DATE(2024, 4, 17)</f>
        <v>25569.3125</v>
      </c>
      <c r="B312" s="6">
        <v>87.29</v>
      </c>
    </row>
    <row x14ac:dyDescent="0.25" r="313" customHeight="1" ht="18.75">
      <c r="A313" s="5">
        <f>DATE(2024, 4, 16)</f>
        <v>25569.3125</v>
      </c>
      <c r="B313" s="6">
        <v>90.02</v>
      </c>
    </row>
    <row x14ac:dyDescent="0.25" r="314" customHeight="1" ht="18.75">
      <c r="A314" s="5">
        <f>DATE(2024, 4, 15)</f>
        <v>25569.3125</v>
      </c>
      <c r="B314" s="6">
        <v>90.1</v>
      </c>
    </row>
    <row x14ac:dyDescent="0.25" r="315" customHeight="1" ht="18.75">
      <c r="A315" s="5">
        <f>DATE(2024, 4, 12)</f>
        <v>25569.3125</v>
      </c>
      <c r="B315" s="6">
        <v>90.45</v>
      </c>
    </row>
    <row x14ac:dyDescent="0.25" r="316" customHeight="1" ht="18.75">
      <c r="A316" s="5">
        <f>DATE(2024, 4, 11)</f>
        <v>25569.3125</v>
      </c>
      <c r="B316" s="6">
        <v>89.74</v>
      </c>
    </row>
    <row x14ac:dyDescent="0.25" r="317" customHeight="1" ht="18.75">
      <c r="A317" s="5">
        <f>DATE(2024, 4, 10)</f>
        <v>25569.3125</v>
      </c>
      <c r="B317" s="6">
        <v>90.48</v>
      </c>
    </row>
    <row x14ac:dyDescent="0.25" r="318" customHeight="1" ht="18.75">
      <c r="A318" s="5">
        <f>DATE(2024, 4, 9)</f>
        <v>25569.3125</v>
      </c>
      <c r="B318" s="6">
        <v>89.42</v>
      </c>
    </row>
    <row x14ac:dyDescent="0.25" r="319" customHeight="1" ht="18.75">
      <c r="A319" s="5">
        <f>DATE(2024, 4, 8)</f>
        <v>25569.3125</v>
      </c>
      <c r="B319" s="6">
        <v>90.38</v>
      </c>
    </row>
    <row x14ac:dyDescent="0.25" r="320" customHeight="1" ht="18.75">
      <c r="A320" s="5">
        <f>DATE(2024, 4, 5)</f>
        <v>25569.3125</v>
      </c>
      <c r="B320" s="6">
        <v>91.17</v>
      </c>
    </row>
    <row x14ac:dyDescent="0.25" r="321" customHeight="1" ht="18.75">
      <c r="A321" s="5">
        <f>DATE(2024, 4, 4)</f>
        <v>25569.3125</v>
      </c>
      <c r="B321" s="6">
        <v>90.65</v>
      </c>
    </row>
    <row x14ac:dyDescent="0.25" r="322" customHeight="1" ht="18.75">
      <c r="A322" s="5">
        <f>DATE(2024, 4, 3)</f>
        <v>25569.3125</v>
      </c>
      <c r="B322" s="6">
        <v>89.35</v>
      </c>
    </row>
    <row x14ac:dyDescent="0.25" r="323" customHeight="1" ht="18.75">
      <c r="A323" s="5">
        <f>DATE(2024, 4, 2)</f>
        <v>25569.3125</v>
      </c>
      <c r="B323" s="6">
        <v>88.92</v>
      </c>
    </row>
    <row x14ac:dyDescent="0.25" r="324" customHeight="1" ht="18.75">
      <c r="A324" s="5">
        <f>DATE(2024, 4, 1)</f>
        <v>25569.3125</v>
      </c>
      <c r="B324" s="6">
        <v>87.42</v>
      </c>
    </row>
    <row x14ac:dyDescent="0.25" r="325" customHeight="1" ht="18.75">
      <c r="A325" s="5">
        <f>DATE(2024, 3, 29)</f>
        <v>25569.3125</v>
      </c>
      <c r="B325" s="6">
        <v>87.48</v>
      </c>
    </row>
    <row x14ac:dyDescent="0.25" r="326" customHeight="1" ht="18.75">
      <c r="A326" s="5">
        <f>DATE(2024, 3, 28)</f>
        <v>25569.3125</v>
      </c>
      <c r="B326" s="6">
        <v>87.48</v>
      </c>
    </row>
    <row x14ac:dyDescent="0.25" r="327" customHeight="1" ht="18.75">
      <c r="A327" s="5">
        <f>DATE(2024, 3, 27)</f>
        <v>25569.3125</v>
      </c>
      <c r="B327" s="6">
        <v>86.09</v>
      </c>
    </row>
    <row x14ac:dyDescent="0.25" r="328" customHeight="1" ht="18.75">
      <c r="A328" s="5">
        <f>DATE(2024, 3, 26)</f>
        <v>25569.3125</v>
      </c>
      <c r="B328" s="6">
        <v>86.25</v>
      </c>
    </row>
    <row x14ac:dyDescent="0.25" r="329" customHeight="1" ht="18.75">
      <c r="A329" s="5">
        <f>DATE(2024, 3, 25)</f>
        <v>25569.3125</v>
      </c>
      <c r="B329" s="6">
        <v>86.75</v>
      </c>
    </row>
    <row x14ac:dyDescent="0.25" r="330" customHeight="1" ht="18.75">
      <c r="A330" s="5">
        <f>DATE(2024, 3, 22)</f>
        <v>25569.3125</v>
      </c>
      <c r="B330" s="6">
        <v>85.43</v>
      </c>
    </row>
    <row x14ac:dyDescent="0.25" r="331" customHeight="1" ht="18.75">
      <c r="A331" s="5">
        <f>DATE(2024, 3, 21)</f>
        <v>25569.3125</v>
      </c>
      <c r="B331" s="6">
        <v>85.78</v>
      </c>
    </row>
    <row x14ac:dyDescent="0.25" r="332" customHeight="1" ht="18.75">
      <c r="A332" s="5">
        <f>DATE(2024, 3, 20)</f>
        <v>25569.3125</v>
      </c>
      <c r="B332" s="6">
        <v>85.95</v>
      </c>
    </row>
    <row x14ac:dyDescent="0.25" r="333" customHeight="1" ht="18.75">
      <c r="A333" s="5">
        <f>DATE(2024, 3, 19)</f>
        <v>25569.3125</v>
      </c>
      <c r="B333" s="6">
        <v>87.38</v>
      </c>
    </row>
    <row x14ac:dyDescent="0.25" r="334" customHeight="1" ht="18.75">
      <c r="A334" s="5">
        <f>DATE(2024, 3, 18)</f>
        <v>25569.3125</v>
      </c>
      <c r="B334" s="6">
        <v>86.89</v>
      </c>
    </row>
    <row x14ac:dyDescent="0.25" r="335" customHeight="1" ht="18.75">
      <c r="A335" s="5">
        <f>DATE(2024, 3, 15)</f>
        <v>25569.3125</v>
      </c>
      <c r="B335" s="6">
        <v>85.34</v>
      </c>
    </row>
    <row x14ac:dyDescent="0.25" r="336" customHeight="1" ht="18.75">
      <c r="A336" s="5">
        <f>DATE(2024, 3, 14)</f>
        <v>25569.3125</v>
      </c>
      <c r="B336" s="6">
        <v>85.42</v>
      </c>
    </row>
    <row x14ac:dyDescent="0.25" r="337" customHeight="1" ht="18.75">
      <c r="A337" s="5">
        <f>DATE(2024, 3, 13)</f>
        <v>25569.3125</v>
      </c>
      <c r="B337" s="6">
        <v>84.03</v>
      </c>
    </row>
    <row x14ac:dyDescent="0.25" r="338" customHeight="1" ht="18.75">
      <c r="A338" s="5">
        <f>DATE(2024, 3, 12)</f>
        <v>25569.3125</v>
      </c>
      <c r="B338" s="6">
        <v>81.92</v>
      </c>
    </row>
    <row x14ac:dyDescent="0.25" r="339" customHeight="1" ht="18.75">
      <c r="A339" s="5">
        <f>DATE(2024, 3, 11)</f>
        <v>25569.3125</v>
      </c>
      <c r="B339" s="6">
        <v>82.21</v>
      </c>
    </row>
    <row x14ac:dyDescent="0.25" r="340" customHeight="1" ht="18.75">
      <c r="A340" s="5">
        <f>DATE(2024, 3, 8)</f>
        <v>25569.3125</v>
      </c>
      <c r="B340" s="6">
        <v>82.08</v>
      </c>
    </row>
    <row x14ac:dyDescent="0.25" r="341" customHeight="1" ht="18.75">
      <c r="A341" s="5">
        <f>DATE(2024, 3, 7)</f>
        <v>25569.3125</v>
      </c>
      <c r="B341" s="6">
        <v>82.96</v>
      </c>
    </row>
    <row x14ac:dyDescent="0.25" r="342" customHeight="1" ht="18.75">
      <c r="A342" s="5">
        <f>DATE(2024, 3, 6)</f>
        <v>25569.3125</v>
      </c>
      <c r="B342" s="6">
        <v>82.96</v>
      </c>
    </row>
    <row x14ac:dyDescent="0.25" r="343" customHeight="1" ht="18.75">
      <c r="A343" s="5">
        <f>DATE(2024, 3, 5)</f>
        <v>25569.3125</v>
      </c>
      <c r="B343" s="6">
        <v>82.04</v>
      </c>
    </row>
    <row x14ac:dyDescent="0.25" r="344" customHeight="1" ht="18.75">
      <c r="A344" s="5">
        <f>DATE(2024, 3, 4)</f>
        <v>25569.3125</v>
      </c>
      <c r="B344" s="6">
        <v>82.8</v>
      </c>
    </row>
    <row x14ac:dyDescent="0.25" r="345" customHeight="1" ht="18.75">
      <c r="A345" s="5">
        <f>DATE(2024, 3, 1)</f>
        <v>25569.3125</v>
      </c>
      <c r="B345" s="6">
        <v>83.55</v>
      </c>
    </row>
    <row x14ac:dyDescent="0.25" r="346" customHeight="1" ht="18.75">
      <c r="A346" s="5">
        <f>DATE(2024, 2, 29)</f>
        <v>25569.3125</v>
      </c>
      <c r="B346" s="6">
        <v>83.62</v>
      </c>
    </row>
    <row x14ac:dyDescent="0.25" r="347" customHeight="1" ht="18.75">
      <c r="A347" s="5">
        <f>DATE(2024, 2, 28)</f>
        <v>25569.3125</v>
      </c>
      <c r="B347" s="6">
        <v>83.68</v>
      </c>
    </row>
    <row x14ac:dyDescent="0.25" r="348" customHeight="1" ht="18.75">
      <c r="A348" s="5">
        <f>DATE(2024, 2, 27)</f>
        <v>25569.3125</v>
      </c>
      <c r="B348" s="6">
        <v>83.65</v>
      </c>
    </row>
    <row x14ac:dyDescent="0.25" r="349" customHeight="1" ht="18.75">
      <c r="A349" s="5">
        <f>DATE(2024, 2, 26)</f>
        <v>25569.3125</v>
      </c>
      <c r="B349" s="6">
        <v>82.53</v>
      </c>
    </row>
    <row x14ac:dyDescent="0.25" r="350" customHeight="1" ht="18.75">
      <c r="A350" s="5">
        <f>DATE(2024, 2, 23)</f>
        <v>25569.3125</v>
      </c>
      <c r="B350" s="6">
        <v>81.62</v>
      </c>
    </row>
    <row x14ac:dyDescent="0.25" r="351" customHeight="1" ht="18.75">
      <c r="A351" s="5">
        <f>DATE(2024, 2, 22)</f>
        <v>25569.3125</v>
      </c>
      <c r="B351" s="6">
        <v>83.67</v>
      </c>
    </row>
    <row x14ac:dyDescent="0.25" r="352" customHeight="1" ht="18.75">
      <c r="A352" s="5">
        <f>DATE(2024, 2, 21)</f>
        <v>25569.3125</v>
      </c>
      <c r="B352" s="6">
        <v>83.03</v>
      </c>
    </row>
    <row x14ac:dyDescent="0.25" r="353" customHeight="1" ht="18.75">
      <c r="A353" s="5">
        <f>DATE(2024, 2, 20)</f>
        <v>25569.3125</v>
      </c>
      <c r="B353" s="6">
        <v>82.34</v>
      </c>
    </row>
    <row x14ac:dyDescent="0.25" r="354" customHeight="1" ht="18.75">
      <c r="A354" s="5">
        <f>DATE(2024, 2, 19)</f>
        <v>25569.3125</v>
      </c>
      <c r="B354" s="6">
        <v>83.56</v>
      </c>
    </row>
    <row x14ac:dyDescent="0.25" r="355" customHeight="1" ht="18.75">
      <c r="A355" s="5">
        <f>DATE(2024, 2, 16)</f>
        <v>25569.3125</v>
      </c>
      <c r="B355" s="6">
        <v>83.47</v>
      </c>
    </row>
    <row x14ac:dyDescent="0.25" r="356" customHeight="1" ht="18.75">
      <c r="A356" s="5">
        <f>DATE(2024, 2, 15)</f>
        <v>25569.3125</v>
      </c>
      <c r="B356" s="6">
        <v>82.86</v>
      </c>
    </row>
    <row x14ac:dyDescent="0.25" r="357" customHeight="1" ht="18.75">
      <c r="A357" s="5">
        <f>DATE(2024, 2, 14)</f>
        <v>25569.3125</v>
      </c>
      <c r="B357" s="6">
        <v>81.6</v>
      </c>
    </row>
    <row x14ac:dyDescent="0.25" r="358" customHeight="1" ht="18.75">
      <c r="A358" s="5">
        <f>DATE(2024, 2, 13)</f>
        <v>25569.3125</v>
      </c>
      <c r="B358" s="6">
        <v>82.77</v>
      </c>
    </row>
    <row x14ac:dyDescent="0.25" r="359" customHeight="1" ht="18.75">
      <c r="A359" s="5">
        <f>DATE(2024, 2, 12)</f>
        <v>25569.3125</v>
      </c>
      <c r="B359" s="6">
        <v>82</v>
      </c>
    </row>
    <row x14ac:dyDescent="0.25" r="360" customHeight="1" ht="18.75">
      <c r="A360" s="5">
        <f>DATE(2024, 2, 9)</f>
        <v>25569.3125</v>
      </c>
      <c r="B360" s="6">
        <v>82.19</v>
      </c>
    </row>
    <row x14ac:dyDescent="0.25" r="361" customHeight="1" ht="18.75">
      <c r="A361" s="5">
        <f>DATE(2024, 2, 8)</f>
        <v>25569.3125</v>
      </c>
      <c r="B361" s="6">
        <v>81.63</v>
      </c>
    </row>
    <row x14ac:dyDescent="0.25" r="362" customHeight="1" ht="18.75">
      <c r="A362" s="5">
        <f>DATE(2024, 2, 7)</f>
        <v>25569.3125</v>
      </c>
      <c r="B362" s="6">
        <v>79.21</v>
      </c>
    </row>
    <row x14ac:dyDescent="0.25" r="363" customHeight="1" ht="18.75">
      <c r="A363" s="5">
        <f>DATE(2024, 2, 6)</f>
        <v>25569.3125</v>
      </c>
      <c r="B363" s="6">
        <v>78.59</v>
      </c>
    </row>
    <row x14ac:dyDescent="0.25" r="364" customHeight="1" ht="18.75">
      <c r="A364" s="5">
        <f>DATE(2024, 2, 5)</f>
        <v>25569.3125</v>
      </c>
      <c r="B364" s="6">
        <v>77.99</v>
      </c>
    </row>
    <row x14ac:dyDescent="0.25" r="365" customHeight="1" ht="18.75">
      <c r="A365" s="5">
        <f>DATE(2024, 2, 2)</f>
        <v>25569.3125</v>
      </c>
      <c r="B365" s="6">
        <v>77.33</v>
      </c>
    </row>
    <row x14ac:dyDescent="0.25" r="366" customHeight="1" ht="18.75">
      <c r="A366" s="5">
        <f>DATE(2024, 2, 1)</f>
        <v>25569.3125</v>
      </c>
      <c r="B366" s="6">
        <v>78.7</v>
      </c>
    </row>
    <row x14ac:dyDescent="0.25" r="367" customHeight="1" ht="18.75">
      <c r="A367" s="5">
        <f>DATE(2024, 1, 31)</f>
        <v>25569.3125</v>
      </c>
      <c r="B367" s="6">
        <v>81.71</v>
      </c>
    </row>
    <row x14ac:dyDescent="0.25" r="368" customHeight="1" ht="18.75">
      <c r="A368" s="5">
        <f>DATE(2024, 1, 30)</f>
        <v>25569.3125</v>
      </c>
      <c r="B368" s="6">
        <v>82.87</v>
      </c>
    </row>
    <row x14ac:dyDescent="0.25" r="369" customHeight="1" ht="18.75">
      <c r="A369" s="5">
        <f>DATE(2024, 1, 29)</f>
        <v>25569.3125</v>
      </c>
      <c r="B369" s="6">
        <v>82.4</v>
      </c>
    </row>
    <row x14ac:dyDescent="0.25" r="370" customHeight="1" ht="18.75">
      <c r="A370" s="5">
        <f>DATE(2024, 1, 26)</f>
        <v>25569.3125</v>
      </c>
      <c r="B370" s="6">
        <v>83.55</v>
      </c>
    </row>
    <row x14ac:dyDescent="0.25" r="371" customHeight="1" ht="18.75">
      <c r="A371" s="5">
        <f>DATE(2024, 1, 25)</f>
        <v>25569.3125</v>
      </c>
      <c r="B371" s="6">
        <v>82.43</v>
      </c>
    </row>
    <row x14ac:dyDescent="0.25" r="372" customHeight="1" ht="18.75">
      <c r="A372" s="5">
        <f>DATE(2024, 1, 24)</f>
        <v>25569.3125</v>
      </c>
      <c r="B372" s="6">
        <v>80.04</v>
      </c>
    </row>
    <row x14ac:dyDescent="0.25" r="373" customHeight="1" ht="18.75">
      <c r="A373" s="5">
        <f>DATE(2024, 1, 23)</f>
        <v>25569.3125</v>
      </c>
      <c r="B373" s="6">
        <v>79.55</v>
      </c>
    </row>
    <row x14ac:dyDescent="0.25" r="374" customHeight="1" ht="18.75">
      <c r="A374" s="5">
        <f>DATE(2024, 1, 22)</f>
        <v>25569.3125</v>
      </c>
      <c r="B374" s="6">
        <v>80.06</v>
      </c>
    </row>
    <row x14ac:dyDescent="0.25" r="375" customHeight="1" ht="18.75">
      <c r="A375" s="5">
        <f>DATE(2024, 1, 19)</f>
        <v>25569.3125</v>
      </c>
      <c r="B375" s="6">
        <v>78.56</v>
      </c>
    </row>
    <row x14ac:dyDescent="0.25" r="376" customHeight="1" ht="18.75">
      <c r="A376" s="5">
        <f>DATE(2024, 1, 18)</f>
        <v>25569.3125</v>
      </c>
      <c r="B376" s="6">
        <v>79.1</v>
      </c>
    </row>
    <row x14ac:dyDescent="0.25" r="377" customHeight="1" ht="18.75">
      <c r="A377" s="5">
        <f>DATE(2024, 1, 17)</f>
        <v>25569.3125</v>
      </c>
      <c r="B377" s="6">
        <v>77.88</v>
      </c>
    </row>
    <row x14ac:dyDescent="0.25" r="378" customHeight="1" ht="18.75">
      <c r="A378" s="5">
        <f>DATE(2024, 1, 16)</f>
        <v>25569.3125</v>
      </c>
      <c r="B378" s="6">
        <v>78.29</v>
      </c>
    </row>
    <row x14ac:dyDescent="0.25" r="379" customHeight="1" ht="18.75">
      <c r="A379" s="5">
        <f>DATE(2024, 1, 15)</f>
        <v>25569.3125</v>
      </c>
      <c r="B379" s="6">
        <v>78.15</v>
      </c>
    </row>
    <row x14ac:dyDescent="0.25" r="380" customHeight="1" ht="18.75">
      <c r="A380" s="5">
        <f>DATE(2024, 1, 12)</f>
        <v>25569.3125</v>
      </c>
      <c r="B380" s="6">
        <v>78.29</v>
      </c>
    </row>
    <row x14ac:dyDescent="0.25" r="381" customHeight="1" ht="18.75">
      <c r="A381" s="5">
        <f>DATE(2024, 1, 11)</f>
        <v>25569.3125</v>
      </c>
      <c r="B381" s="6">
        <v>77.41</v>
      </c>
    </row>
    <row x14ac:dyDescent="0.25" r="382" customHeight="1" ht="18.75">
      <c r="A382" s="5">
        <f>DATE(2024, 1, 10)</f>
        <v>25569.3125</v>
      </c>
      <c r="B382" s="6">
        <v>76.8</v>
      </c>
    </row>
    <row x14ac:dyDescent="0.25" r="383" customHeight="1" ht="18.75">
      <c r="A383" s="5">
        <f>DATE(2024, 1, 9)</f>
        <v>25569.3125</v>
      </c>
      <c r="B383" s="6">
        <v>77.59</v>
      </c>
    </row>
    <row x14ac:dyDescent="0.25" r="384" customHeight="1" ht="18.75">
      <c r="A384" s="5">
        <f>DATE(2024, 1, 8)</f>
        <v>25569.3125</v>
      </c>
      <c r="B384" s="6">
        <v>76.12</v>
      </c>
    </row>
    <row x14ac:dyDescent="0.25" r="385" customHeight="1" ht="18.75">
      <c r="A385" s="5">
        <f>DATE(2024, 1, 5)</f>
        <v>25569.3125</v>
      </c>
      <c r="B385" s="6">
        <v>78.76</v>
      </c>
    </row>
    <row x14ac:dyDescent="0.25" r="386" customHeight="1" ht="18.75">
      <c r="A386" s="5">
        <f>DATE(2024, 1, 4)</f>
        <v>25569.3125</v>
      </c>
      <c r="B386" s="6">
        <v>77.59</v>
      </c>
    </row>
    <row x14ac:dyDescent="0.25" r="387" customHeight="1" ht="18.75">
      <c r="A387" s="5">
        <f>DATE(2024, 1, 3)</f>
        <v>25569.3125</v>
      </c>
      <c r="B387" s="6">
        <v>78.25</v>
      </c>
    </row>
    <row x14ac:dyDescent="0.25" r="388" customHeight="1" ht="18.75">
      <c r="A388" s="5">
        <f>DATE(2024, 1, 2)</f>
        <v>25569.3125</v>
      </c>
      <c r="B388" s="6">
        <v>75.89</v>
      </c>
    </row>
    <row x14ac:dyDescent="0.25" r="389" customHeight="1" ht="18.75">
      <c r="A389" s="5">
        <f>DATE(2024, 1, 1)</f>
        <v>25569.3125</v>
      </c>
      <c r="B389" s="6">
        <v>77.04</v>
      </c>
    </row>
    <row x14ac:dyDescent="0.25" r="390" customHeight="1" ht="18.75">
      <c r="A390" s="5">
        <f>DATE(2023, 12, 29)</f>
        <v>25569.3125</v>
      </c>
      <c r="B390" s="6">
        <v>77.04</v>
      </c>
    </row>
    <row x14ac:dyDescent="0.25" r="391" customHeight="1" ht="18.75">
      <c r="A391" s="5">
        <f>DATE(2023, 12, 28)</f>
        <v>25569.3125</v>
      </c>
      <c r="B391" s="6">
        <v>78.39</v>
      </c>
    </row>
    <row x14ac:dyDescent="0.25" r="392" customHeight="1" ht="18.75">
      <c r="A392" s="5">
        <f>DATE(2023, 12, 27)</f>
        <v>25569.3125</v>
      </c>
      <c r="B392" s="6">
        <v>79.65</v>
      </c>
    </row>
    <row x14ac:dyDescent="0.25" r="393" customHeight="1" ht="18.75">
      <c r="A393" s="5">
        <f>DATE(2023, 12, 26)</f>
        <v>25569.3125</v>
      </c>
      <c r="B393" s="6">
        <v>81.07</v>
      </c>
    </row>
    <row x14ac:dyDescent="0.25" r="394" customHeight="1" ht="18.75">
      <c r="A394" s="5">
        <f>DATE(2023, 12, 25)</f>
        <v>25569.3125</v>
      </c>
      <c r="B394" s="6">
        <v>79.07</v>
      </c>
    </row>
    <row x14ac:dyDescent="0.25" r="395" customHeight="1" ht="18.75">
      <c r="A395" s="5">
        <f>DATE(2023, 12, 22)</f>
        <v>25569.3125</v>
      </c>
      <c r="B395" s="6">
        <v>79.07</v>
      </c>
    </row>
    <row x14ac:dyDescent="0.25" r="396" customHeight="1" ht="18.75">
      <c r="A396" s="5">
        <f>DATE(2023, 12, 21)</f>
        <v>25569.3125</v>
      </c>
      <c r="B396" s="6">
        <v>79.39</v>
      </c>
    </row>
    <row x14ac:dyDescent="0.25" r="397" customHeight="1" ht="18.75">
      <c r="A397" s="5">
        <f>DATE(2023, 12, 20)</f>
        <v>25569.3125</v>
      </c>
      <c r="B397" s="6">
        <v>79.7</v>
      </c>
    </row>
    <row x14ac:dyDescent="0.25" r="398" customHeight="1" ht="18.75">
      <c r="A398" s="5">
        <f>DATE(2023, 12, 19)</f>
        <v>25569.3125</v>
      </c>
      <c r="B398" s="6">
        <v>79.23</v>
      </c>
    </row>
    <row x14ac:dyDescent="0.25" r="399" customHeight="1" ht="18.75">
      <c r="A399" s="5">
        <f>DATE(2023, 12, 18)</f>
        <v>25569.3125</v>
      </c>
      <c r="B399" s="6">
        <v>77.95</v>
      </c>
    </row>
    <row x14ac:dyDescent="0.25" r="400" customHeight="1" ht="18.75">
      <c r="A400" s="5">
        <f>DATE(2023, 12, 15)</f>
        <v>25569.3125</v>
      </c>
      <c r="B400" s="6">
        <v>76.55</v>
      </c>
    </row>
    <row x14ac:dyDescent="0.25" r="401" customHeight="1" ht="18.75">
      <c r="A401" s="5">
        <f>DATE(2023, 12, 14)</f>
        <v>25569.3125</v>
      </c>
      <c r="B401" s="6">
        <v>76.61</v>
      </c>
    </row>
    <row x14ac:dyDescent="0.25" r="402" customHeight="1" ht="18.75">
      <c r="A402" s="5">
        <f>DATE(2023, 12, 13)</f>
        <v>25569.3125</v>
      </c>
      <c r="B402" s="6">
        <v>74.26</v>
      </c>
    </row>
    <row x14ac:dyDescent="0.25" r="403" customHeight="1" ht="18.75">
      <c r="A403" s="5">
        <f>DATE(2023, 12, 12)</f>
        <v>25569.3125</v>
      </c>
      <c r="B403" s="6">
        <v>73.24</v>
      </c>
    </row>
    <row x14ac:dyDescent="0.25" r="404" customHeight="1" ht="18.75">
      <c r="A404" s="5">
        <f>DATE(2023, 12, 11)</f>
        <v>25569.3125</v>
      </c>
      <c r="B404" s="6">
        <v>76.03</v>
      </c>
    </row>
    <row x14ac:dyDescent="0.25" r="405" customHeight="1" ht="18.75">
      <c r="A405" s="5">
        <f>DATE(2023, 12, 8)</f>
        <v>25569.3125</v>
      </c>
      <c r="B405" s="6">
        <v>75.84</v>
      </c>
    </row>
    <row x14ac:dyDescent="0.25" r="406" customHeight="1" ht="18.75">
      <c r="A406" s="5">
        <f>DATE(2023, 12, 7)</f>
        <v>25569.3125</v>
      </c>
      <c r="B406" s="6">
        <v>74.05</v>
      </c>
    </row>
    <row x14ac:dyDescent="0.25" r="407" customHeight="1" ht="18.75">
      <c r="A407" s="5">
        <f>DATE(2023, 12, 6)</f>
        <v>25569.3125</v>
      </c>
      <c r="B407" s="6">
        <v>74.3</v>
      </c>
    </row>
    <row x14ac:dyDescent="0.25" r="408" customHeight="1" ht="18.75">
      <c r="A408" s="5">
        <f>DATE(2023, 12, 5)</f>
        <v>25569.3125</v>
      </c>
      <c r="B408" s="6">
        <v>77.2</v>
      </c>
    </row>
    <row x14ac:dyDescent="0.25" r="409" customHeight="1" ht="18.75">
      <c r="A409" s="5">
        <f>DATE(2023, 12, 4)</f>
        <v>25569.3125</v>
      </c>
      <c r="B409" s="6">
        <v>78.03</v>
      </c>
    </row>
    <row x14ac:dyDescent="0.25" r="410" customHeight="1" ht="18.75">
      <c r="A410" s="5">
        <f>DATE(2023, 12, 1)</f>
        <v>25569.3125</v>
      </c>
      <c r="B410" s="6">
        <v>78.88</v>
      </c>
    </row>
    <row x14ac:dyDescent="0.25" r="411" customHeight="1" ht="18.75">
      <c r="A411" s="5">
        <f>DATE(2023, 11, 30)</f>
        <v>25569.3125</v>
      </c>
      <c r="B411" s="6">
        <v>82.83</v>
      </c>
    </row>
    <row x14ac:dyDescent="0.25" r="412" customHeight="1" ht="18.75">
      <c r="A412" s="5">
        <f>DATE(2023, 11, 29)</f>
        <v>25569.3125</v>
      </c>
      <c r="B412" s="6">
        <v>83.1</v>
      </c>
    </row>
    <row x14ac:dyDescent="0.25" r="413" customHeight="1" ht="18.75">
      <c r="A413" s="5">
        <f>DATE(2023, 11, 28)</f>
        <v>25569.3125</v>
      </c>
      <c r="B413" s="6">
        <v>81.68</v>
      </c>
    </row>
    <row x14ac:dyDescent="0.25" r="414" customHeight="1" ht="18.75">
      <c r="A414" s="5">
        <f>DATE(2023, 11, 27)</f>
        <v>25569.3125</v>
      </c>
      <c r="B414" s="6">
        <v>79.98</v>
      </c>
    </row>
    <row x14ac:dyDescent="0.25" r="415" customHeight="1" ht="18.75">
      <c r="A415" s="5">
        <f>DATE(2023, 11, 24)</f>
        <v>25569.3125</v>
      </c>
      <c r="B415" s="6">
        <v>80.58</v>
      </c>
    </row>
    <row x14ac:dyDescent="0.25" r="416" customHeight="1" ht="18.75">
      <c r="A416" s="5">
        <f>DATE(2023, 11, 23)</f>
        <v>25569.3125</v>
      </c>
      <c r="B416" s="6">
        <v>81.42</v>
      </c>
    </row>
    <row x14ac:dyDescent="0.25" r="417" customHeight="1" ht="18.75">
      <c r="A417" s="5">
        <f>DATE(2023, 11, 22)</f>
        <v>25569.3125</v>
      </c>
      <c r="B417" s="6">
        <v>81.96</v>
      </c>
    </row>
    <row x14ac:dyDescent="0.25" r="418" customHeight="1" ht="18.75">
      <c r="A418" s="5">
        <f>DATE(2023, 11, 21)</f>
        <v>25569.3125</v>
      </c>
      <c r="B418" s="6">
        <v>82.45</v>
      </c>
    </row>
    <row x14ac:dyDescent="0.25" r="419" customHeight="1" ht="18.75">
      <c r="A419" s="5">
        <f>DATE(2023, 11, 20)</f>
        <v>25569.3125</v>
      </c>
      <c r="B419" s="6">
        <v>82.32</v>
      </c>
    </row>
    <row x14ac:dyDescent="0.25" r="420" customHeight="1" ht="18.75">
      <c r="A420" s="5">
        <f>DATE(2023, 11, 17)</f>
        <v>25569.3125</v>
      </c>
      <c r="B420" s="6">
        <v>80.61</v>
      </c>
    </row>
    <row x14ac:dyDescent="0.25" r="421" customHeight="1" ht="18.75">
      <c r="A421" s="5">
        <f>DATE(2023, 11, 16)</f>
        <v>25569.3125</v>
      </c>
      <c r="B421" s="6">
        <v>77.42</v>
      </c>
    </row>
    <row x14ac:dyDescent="0.25" r="422" customHeight="1" ht="18.75">
      <c r="A422" s="5">
        <f>DATE(2023, 11, 15)</f>
        <v>25569.3125</v>
      </c>
      <c r="B422" s="6">
        <v>81.18</v>
      </c>
    </row>
    <row x14ac:dyDescent="0.25" r="423" customHeight="1" ht="18.75">
      <c r="A423" s="5">
        <f>DATE(2023, 11, 14)</f>
        <v>25569.3125</v>
      </c>
      <c r="B423" s="6">
        <v>82.47</v>
      </c>
    </row>
    <row x14ac:dyDescent="0.25" r="424" customHeight="1" ht="18.75">
      <c r="A424" s="5">
        <f>DATE(2023, 11, 13)</f>
        <v>25569.3125</v>
      </c>
      <c r="B424" s="6">
        <v>82.52</v>
      </c>
    </row>
    <row x14ac:dyDescent="0.25" r="425" customHeight="1" ht="18.75">
      <c r="A425" s="5">
        <f>DATE(2023, 11, 10)</f>
        <v>25569.3125</v>
      </c>
      <c r="B425" s="6">
        <v>81.43</v>
      </c>
    </row>
    <row x14ac:dyDescent="0.25" r="426" customHeight="1" ht="18.75">
      <c r="A426" s="5">
        <f>DATE(2023, 11, 9)</f>
        <v>25569.3125</v>
      </c>
      <c r="B426" s="6">
        <v>80.01</v>
      </c>
    </row>
    <row x14ac:dyDescent="0.25" r="427" customHeight="1" ht="18.75">
      <c r="A427" s="5">
        <f>DATE(2023, 11, 8)</f>
        <v>25569.3125</v>
      </c>
      <c r="B427" s="6">
        <v>79.54</v>
      </c>
    </row>
    <row x14ac:dyDescent="0.25" r="428" customHeight="1" ht="18.75">
      <c r="A428" s="5">
        <f>DATE(2023, 11, 7)</f>
        <v>25569.3125</v>
      </c>
      <c r="B428" s="6">
        <v>81.61</v>
      </c>
    </row>
    <row x14ac:dyDescent="0.25" r="429" customHeight="1" ht="18.75">
      <c r="A429" s="5">
        <f>DATE(2023, 11, 6)</f>
        <v>25569.3125</v>
      </c>
      <c r="B429" s="6">
        <v>85.18</v>
      </c>
    </row>
    <row x14ac:dyDescent="0.25" r="430" customHeight="1" ht="18.75">
      <c r="A430" s="5">
        <f>DATE(2023, 11, 3)</f>
        <v>25569.3125</v>
      </c>
      <c r="B430" s="6">
        <v>84.89</v>
      </c>
    </row>
    <row x14ac:dyDescent="0.25" r="431" customHeight="1" ht="18.75">
      <c r="A431" s="5">
        <f>DATE(2023, 11, 2)</f>
        <v>25569.3125</v>
      </c>
      <c r="B431" s="6">
        <v>86.85</v>
      </c>
    </row>
    <row x14ac:dyDescent="0.25" r="432" customHeight="1" ht="18.75">
      <c r="A432" s="5">
        <f>DATE(2023, 11, 1)</f>
        <v>25569.3125</v>
      </c>
      <c r="B432" s="6">
        <v>84.63</v>
      </c>
    </row>
    <row x14ac:dyDescent="0.25" r="433" customHeight="1" ht="18.75">
      <c r="A433" s="5">
        <f>DATE(2023, 10, 31)</f>
        <v>25569.3125</v>
      </c>
      <c r="B433" s="6">
        <v>87.41</v>
      </c>
    </row>
    <row x14ac:dyDescent="0.25" r="434" customHeight="1" ht="18.75">
      <c r="A434" s="5">
        <f>DATE(2023, 10, 30)</f>
        <v>25569.3125</v>
      </c>
      <c r="B434" s="6">
        <v>87.45</v>
      </c>
    </row>
    <row x14ac:dyDescent="0.25" r="435" customHeight="1" ht="18.75">
      <c r="A435" s="5">
        <f>DATE(2023, 10, 27)</f>
        <v>25569.3125</v>
      </c>
      <c r="B435" s="6">
        <v>90.48</v>
      </c>
    </row>
    <row x14ac:dyDescent="0.25" r="436" customHeight="1" ht="18.75">
      <c r="A436" s="5">
        <f>DATE(2023, 10, 26)</f>
        <v>25569.3125</v>
      </c>
      <c r="B436" s="6">
        <v>87.93</v>
      </c>
    </row>
    <row x14ac:dyDescent="0.25" r="437" customHeight="1" ht="18.75">
      <c r="A437" s="5">
        <f>DATE(2023, 10, 25)</f>
        <v>25569.3125</v>
      </c>
      <c r="B437" s="6">
        <v>90.13</v>
      </c>
    </row>
    <row x14ac:dyDescent="0.25" r="438" customHeight="1" ht="18.75">
      <c r="A438" s="5">
        <f>DATE(2023, 10, 24)</f>
        <v>25569.3125</v>
      </c>
      <c r="B438" s="6">
        <v>88.07</v>
      </c>
    </row>
    <row x14ac:dyDescent="0.25" r="439" customHeight="1" ht="18.75">
      <c r="A439" s="5">
        <f>DATE(2023, 10, 23)</f>
        <v>25569.3125</v>
      </c>
      <c r="B439" s="6">
        <v>89.83</v>
      </c>
    </row>
    <row x14ac:dyDescent="0.25" r="440" customHeight="1" ht="18.75">
      <c r="A440" s="5">
        <f>DATE(2023, 10, 20)</f>
        <v>25569.3125</v>
      </c>
      <c r="B440" s="6">
        <v>92.16</v>
      </c>
    </row>
    <row x14ac:dyDescent="0.25" r="441" customHeight="1" ht="18.75">
      <c r="A441" s="5">
        <f>DATE(2023, 10, 19)</f>
        <v>25569.3125</v>
      </c>
      <c r="B441" s="6">
        <v>92.38</v>
      </c>
    </row>
    <row x14ac:dyDescent="0.25" r="442" customHeight="1" ht="18.75">
      <c r="A442" s="5">
        <f>DATE(2023, 10, 18)</f>
        <v>25569.3125</v>
      </c>
      <c r="B442" s="6">
        <v>91.5</v>
      </c>
    </row>
    <row x14ac:dyDescent="0.25" r="443" customHeight="1" ht="18.75">
      <c r="A443" s="5">
        <f>DATE(2023, 10, 17)</f>
        <v>25569.3125</v>
      </c>
      <c r="B443" s="6">
        <v>89.9</v>
      </c>
    </row>
    <row x14ac:dyDescent="0.25" r="444" customHeight="1" ht="18.75">
      <c r="A444" s="5">
        <f>DATE(2023, 10, 16)</f>
        <v>25569.3125</v>
      </c>
      <c r="B444" s="6">
        <v>89.65</v>
      </c>
    </row>
    <row x14ac:dyDescent="0.25" r="445" customHeight="1" ht="18.75">
      <c r="A445" s="5">
        <f>DATE(2023, 10, 13)</f>
        <v>25569.3125</v>
      </c>
      <c r="B445" s="6">
        <v>90.89</v>
      </c>
    </row>
    <row x14ac:dyDescent="0.25" r="446" customHeight="1" ht="18.75">
      <c r="A446" s="5">
        <f>DATE(2023, 10, 12)</f>
        <v>25569.3125</v>
      </c>
      <c r="B446" s="6">
        <v>86</v>
      </c>
    </row>
    <row x14ac:dyDescent="0.25" r="447" customHeight="1" ht="18.75">
      <c r="A447" s="5">
        <f>DATE(2023, 10, 11)</f>
        <v>25569.3125</v>
      </c>
      <c r="B447" s="6">
        <v>85.82</v>
      </c>
    </row>
    <row x14ac:dyDescent="0.25" r="448" customHeight="1" ht="18.75">
      <c r="A448" s="5">
        <f>DATE(2023, 10, 10)</f>
        <v>25569.3125</v>
      </c>
      <c r="B448" s="6">
        <v>87.65</v>
      </c>
    </row>
    <row x14ac:dyDescent="0.25" r="449" customHeight="1" ht="18.75">
      <c r="A449" s="5">
        <f>DATE(2023, 10, 9)</f>
        <v>25569.3125</v>
      </c>
      <c r="B449" s="6">
        <v>88.15</v>
      </c>
    </row>
    <row x14ac:dyDescent="0.25" r="450" customHeight="1" ht="18.75">
      <c r="A450" s="5">
        <f>DATE(2023, 10, 6)</f>
        <v>25569.3125</v>
      </c>
      <c r="B450" s="6">
        <v>84.58</v>
      </c>
    </row>
    <row x14ac:dyDescent="0.25" r="451" customHeight="1" ht="18.75">
      <c r="A451" s="5">
        <f>DATE(2023, 10, 5)</f>
        <v>25569.3125</v>
      </c>
      <c r="B451" s="6">
        <v>84.07</v>
      </c>
    </row>
    <row x14ac:dyDescent="0.25" r="452" customHeight="1" ht="18.75">
      <c r="A452" s="5">
        <f>DATE(2023, 10, 4)</f>
        <v>25569.3125</v>
      </c>
      <c r="B452" s="6">
        <v>85.81</v>
      </c>
    </row>
    <row x14ac:dyDescent="0.25" r="453" customHeight="1" ht="18.75">
      <c r="A453" s="5">
        <f>DATE(2023, 10, 3)</f>
        <v>25569.3125</v>
      </c>
      <c r="B453" s="6">
        <v>90.92</v>
      </c>
    </row>
    <row x14ac:dyDescent="0.25" r="454" customHeight="1" ht="18.75">
      <c r="A454" s="5">
        <f>DATE(2023, 10, 2)</f>
        <v>25569.3125</v>
      </c>
      <c r="B454" s="6">
        <v>90.71</v>
      </c>
    </row>
    <row x14ac:dyDescent="0.25" r="455" customHeight="1" ht="18.75">
      <c r="A455" s="5">
        <f>DATE(2023, 9, 29)</f>
        <v>25569.3125</v>
      </c>
      <c r="B455" s="6">
        <v>95.31</v>
      </c>
    </row>
    <row x14ac:dyDescent="0.25" r="456" customHeight="1" ht="18.75">
      <c r="A456" s="5">
        <f>DATE(2023, 9, 28)</f>
        <v>25569.3125</v>
      </c>
      <c r="B456" s="6">
        <v>95.38</v>
      </c>
    </row>
    <row x14ac:dyDescent="0.25" r="457" customHeight="1" ht="18.75">
      <c r="A457" s="5">
        <f>DATE(2023, 9, 27)</f>
        <v>25569.3125</v>
      </c>
      <c r="B457" s="6">
        <v>96.55</v>
      </c>
    </row>
    <row x14ac:dyDescent="0.25" r="458" customHeight="1" ht="18.75">
      <c r="A458" s="5">
        <f>DATE(2023, 9, 26)</f>
        <v>25569.3125</v>
      </c>
      <c r="B458" s="6">
        <v>93.96</v>
      </c>
    </row>
    <row x14ac:dyDescent="0.25" r="459" customHeight="1" ht="18.75">
      <c r="A459" s="5">
        <f>DATE(2023, 9, 25)</f>
        <v>25569.3125</v>
      </c>
      <c r="B459" s="6">
        <v>93.29</v>
      </c>
    </row>
    <row x14ac:dyDescent="0.25" r="460" customHeight="1" ht="18.75">
      <c r="A460" s="5">
        <f>DATE(2023, 9, 22)</f>
        <v>25569.3125</v>
      </c>
      <c r="B460" s="6">
        <v>93.27</v>
      </c>
    </row>
    <row x14ac:dyDescent="0.25" r="461" customHeight="1" ht="18.75">
      <c r="A461" s="5">
        <f>DATE(2023, 9, 21)</f>
        <v>25569.3125</v>
      </c>
      <c r="B461" s="6">
        <v>93.3</v>
      </c>
    </row>
    <row x14ac:dyDescent="0.25" r="462" customHeight="1" ht="18.75">
      <c r="A462" s="5">
        <f>DATE(2023, 9, 20)</f>
        <v>25569.3125</v>
      </c>
      <c r="B462" s="6">
        <v>93.53</v>
      </c>
    </row>
    <row x14ac:dyDescent="0.25" r="463" customHeight="1" ht="18.75">
      <c r="A463" s="5">
        <f>DATE(2023, 9, 19)</f>
        <v>25569.3125</v>
      </c>
      <c r="B463" s="6">
        <v>94.34</v>
      </c>
    </row>
    <row x14ac:dyDescent="0.25" r="464" customHeight="1" ht="18.75">
      <c r="A464" s="5">
        <f>DATE(2023, 9, 18)</f>
        <v>25569.3125</v>
      </c>
      <c r="B464" s="6">
        <v>94.43</v>
      </c>
    </row>
    <row x14ac:dyDescent="0.25" r="465" customHeight="1" ht="18.75">
      <c r="A465" s="5">
        <f>DATE(2023, 9, 15)</f>
        <v>25569.3125</v>
      </c>
      <c r="B465" s="6">
        <v>93.93</v>
      </c>
    </row>
    <row x14ac:dyDescent="0.25" r="466" customHeight="1" ht="18.75">
      <c r="A466" s="5">
        <f>DATE(2023, 9, 14)</f>
        <v>25569.3125</v>
      </c>
      <c r="B466" s="6">
        <v>93.7</v>
      </c>
    </row>
    <row x14ac:dyDescent="0.25" r="467" customHeight="1" ht="18.75">
      <c r="A467" s="5">
        <f>DATE(2023, 9, 13)</f>
        <v>25569.3125</v>
      </c>
      <c r="B467" s="6">
        <v>91.88</v>
      </c>
    </row>
    <row x14ac:dyDescent="0.25" r="468" customHeight="1" ht="18.75">
      <c r="A468" s="5">
        <f>DATE(2023, 9, 12)</f>
        <v>25569.3125</v>
      </c>
      <c r="B468" s="6">
        <v>92.06</v>
      </c>
    </row>
    <row x14ac:dyDescent="0.25" r="469" customHeight="1" ht="18.75">
      <c r="A469" s="5">
        <f>DATE(2023, 9, 11)</f>
        <v>25569.3125</v>
      </c>
      <c r="B469" s="6">
        <v>90.64</v>
      </c>
    </row>
    <row x14ac:dyDescent="0.25" r="470" customHeight="1" ht="18.75">
      <c r="A470" s="5">
        <f>DATE(2023, 9, 8)</f>
        <v>25569.3125</v>
      </c>
      <c r="B470" s="6">
        <v>90.65</v>
      </c>
    </row>
    <row x14ac:dyDescent="0.25" r="471" customHeight="1" ht="18.75">
      <c r="A471" s="5">
        <f>DATE(2023, 9, 7)</f>
        <v>25569.3125</v>
      </c>
      <c r="B471" s="6">
        <v>89.92</v>
      </c>
    </row>
    <row x14ac:dyDescent="0.25" r="472" customHeight="1" ht="18.75">
      <c r="A472" s="5">
        <f>DATE(2023, 9, 6)</f>
        <v>25569.3125</v>
      </c>
      <c r="B472" s="6">
        <v>90.6</v>
      </c>
    </row>
    <row x14ac:dyDescent="0.25" r="473" customHeight="1" ht="18.75">
      <c r="A473" s="5">
        <f>DATE(2023, 9, 5)</f>
        <v>25569.3125</v>
      </c>
      <c r="B473" s="6">
        <v>90.04</v>
      </c>
    </row>
    <row x14ac:dyDescent="0.25" r="474" customHeight="1" ht="18.75">
      <c r="A474" s="5">
        <f>DATE(2023, 9, 4)</f>
        <v>25569.3125</v>
      </c>
      <c r="B474" s="6">
        <v>89</v>
      </c>
    </row>
    <row x14ac:dyDescent="0.25" r="475" customHeight="1" ht="18.75">
      <c r="A475" s="5">
        <f>DATE(2023, 9, 1)</f>
        <v>25569.3125</v>
      </c>
      <c r="B475" s="6">
        <v>88.55</v>
      </c>
    </row>
    <row x14ac:dyDescent="0.25" r="476" customHeight="1" ht="18.75">
      <c r="A476" s="5">
        <f>DATE(2023, 8, 31)</f>
        <v>25569.3125</v>
      </c>
      <c r="B476" s="6">
        <v>86.86</v>
      </c>
    </row>
    <row x14ac:dyDescent="0.25" r="477" customHeight="1" ht="18.75">
      <c r="A477" s="5">
        <f>DATE(2023, 8, 30)</f>
        <v>25569.3125</v>
      </c>
      <c r="B477" s="6">
        <v>85.86</v>
      </c>
    </row>
    <row x14ac:dyDescent="0.25" r="478" customHeight="1" ht="18.75">
      <c r="A478" s="5">
        <f>DATE(2023, 8, 29)</f>
        <v>25569.3125</v>
      </c>
      <c r="B478" s="6">
        <v>85.49</v>
      </c>
    </row>
    <row x14ac:dyDescent="0.25" r="479" customHeight="1" ht="18.75">
      <c r="A479" s="5">
        <f>DATE(2023, 8, 28)</f>
        <v>25569.3125</v>
      </c>
      <c r="B479" s="6">
        <v>84.42</v>
      </c>
    </row>
    <row x14ac:dyDescent="0.25" r="480" customHeight="1" ht="18.75">
      <c r="A480" s="5">
        <f>DATE(2023, 8, 25)</f>
        <v>25569.3125</v>
      </c>
      <c r="B480" s="6">
        <v>84.48</v>
      </c>
    </row>
    <row x14ac:dyDescent="0.25" r="481" customHeight="1" ht="18.75">
      <c r="A481" s="5">
        <f>DATE(2023, 8, 24)</f>
        <v>25569.3125</v>
      </c>
      <c r="B481" s="6">
        <v>83.36</v>
      </c>
    </row>
    <row x14ac:dyDescent="0.25" r="482" customHeight="1" ht="18.75">
      <c r="A482" s="5">
        <f>DATE(2023, 8, 23)</f>
        <v>25569.3125</v>
      </c>
      <c r="B482" s="6">
        <v>83.21</v>
      </c>
    </row>
    <row x14ac:dyDescent="0.25" r="483" customHeight="1" ht="18.75">
      <c r="A483" s="5">
        <f>DATE(2023, 8, 22)</f>
        <v>25569.3125</v>
      </c>
      <c r="B483" s="6">
        <v>84.03</v>
      </c>
    </row>
    <row x14ac:dyDescent="0.25" r="484" customHeight="1" ht="18.75">
      <c r="A484" s="5">
        <f>DATE(2023, 8, 21)</f>
        <v>25569.3125</v>
      </c>
      <c r="B484" s="6">
        <v>84.46</v>
      </c>
    </row>
    <row x14ac:dyDescent="0.25" r="485" customHeight="1" ht="18.75">
      <c r="A485" s="5">
        <f>DATE(2023, 8, 18)</f>
        <v>25569.3125</v>
      </c>
      <c r="B485" s="6">
        <v>84.8</v>
      </c>
    </row>
    <row x14ac:dyDescent="0.25" r="486" customHeight="1" ht="18.75">
      <c r="A486" s="5">
        <f>DATE(2023, 8, 17)</f>
        <v>25569.3125</v>
      </c>
      <c r="B486" s="6">
        <v>84.12</v>
      </c>
    </row>
    <row x14ac:dyDescent="0.25" r="487" customHeight="1" ht="18.75">
      <c r="A487" s="5">
        <f>DATE(2023, 8, 16)</f>
        <v>25569.3125</v>
      </c>
      <c r="B487" s="6">
        <v>83.45</v>
      </c>
    </row>
    <row x14ac:dyDescent="0.25" r="488" customHeight="1" ht="18.75">
      <c r="A488" s="5">
        <f>DATE(2023, 8, 15)</f>
        <v>25569.3125</v>
      </c>
      <c r="B488" s="6">
        <v>84.89</v>
      </c>
    </row>
    <row x14ac:dyDescent="0.25" r="489" customHeight="1" ht="18.75">
      <c r="A489" s="5">
        <f>DATE(2023, 8, 14)</f>
        <v>25569.3125</v>
      </c>
      <c r="B489" s="6">
        <v>86.21</v>
      </c>
    </row>
    <row x14ac:dyDescent="0.25" r="490" customHeight="1" ht="18.75">
      <c r="A490" s="5">
        <f>DATE(2023, 8, 11)</f>
        <v>25569.3125</v>
      </c>
      <c r="B490" s="6">
        <v>86.81</v>
      </c>
    </row>
    <row x14ac:dyDescent="0.25" r="491" customHeight="1" ht="18.75">
      <c r="A491" s="5">
        <f>DATE(2023, 8, 10)</f>
        <v>25569.3125</v>
      </c>
      <c r="B491" s="6">
        <v>86.4</v>
      </c>
    </row>
    <row x14ac:dyDescent="0.25" r="492" customHeight="1" ht="18.75">
      <c r="A492" s="5">
        <f>DATE(2023, 8, 9)</f>
        <v>25569.3125</v>
      </c>
      <c r="B492" s="6">
        <v>87.55</v>
      </c>
    </row>
    <row x14ac:dyDescent="0.25" r="493" customHeight="1" ht="18.75">
      <c r="A493" s="5">
        <f>DATE(2023, 8, 8)</f>
        <v>25569.3125</v>
      </c>
      <c r="B493" s="6">
        <v>86.17</v>
      </c>
    </row>
    <row x14ac:dyDescent="0.25" r="494" customHeight="1" ht="18.75">
      <c r="A494" s="5">
        <f>DATE(2023, 8, 7)</f>
        <v>25569.3125</v>
      </c>
      <c r="B494" s="6">
        <v>85.34</v>
      </c>
    </row>
    <row x14ac:dyDescent="0.25" r="495" customHeight="1" ht="18.75">
      <c r="A495" s="5">
        <f>DATE(2023, 8, 4)</f>
        <v>25569.3125</v>
      </c>
      <c r="B495" s="6">
        <v>86.24</v>
      </c>
    </row>
    <row x14ac:dyDescent="0.25" r="496" customHeight="1" ht="18.75">
      <c r="A496" s="5">
        <f>DATE(2023, 8, 3)</f>
        <v>25569.3125</v>
      </c>
      <c r="B496" s="6">
        <v>85.14</v>
      </c>
    </row>
    <row x14ac:dyDescent="0.25" r="497" customHeight="1" ht="18.75">
      <c r="A497" s="5">
        <f>DATE(2023, 8, 2)</f>
        <v>25569.3125</v>
      </c>
      <c r="B497" s="6">
        <v>83.2</v>
      </c>
    </row>
    <row x14ac:dyDescent="0.25" r="498" customHeight="1" ht="18.75">
      <c r="A498" s="5">
        <f>DATE(2023, 8, 1)</f>
        <v>25569.3125</v>
      </c>
      <c r="B498" s="6">
        <v>84.91</v>
      </c>
    </row>
    <row x14ac:dyDescent="0.25" r="499" customHeight="1" ht="18.75">
      <c r="A499" s="5">
        <f>DATE(2023, 7, 31)</f>
        <v>25569.3125</v>
      </c>
      <c r="B499" s="6">
        <v>85.56</v>
      </c>
    </row>
    <row x14ac:dyDescent="0.25" r="500" customHeight="1" ht="18.75">
      <c r="A500" s="5">
        <f>DATE(2023, 7, 28)</f>
        <v>25569.3125</v>
      </c>
      <c r="B500" s="6">
        <v>84.99</v>
      </c>
    </row>
    <row x14ac:dyDescent="0.25" r="501" customHeight="1" ht="18.75">
      <c r="A501" s="5">
        <f>DATE(2023, 7, 27)</f>
        <v>25569.3125</v>
      </c>
      <c r="B501" s="6">
        <v>84.24</v>
      </c>
    </row>
    <row x14ac:dyDescent="0.25" r="502" customHeight="1" ht="18.75">
      <c r="A502" s="5">
        <f>DATE(2023, 7, 26)</f>
        <v>25569.3125</v>
      </c>
      <c r="B502" s="6">
        <v>82.92</v>
      </c>
    </row>
    <row x14ac:dyDescent="0.25" r="503" customHeight="1" ht="18.75">
      <c r="A503" s="5">
        <f>DATE(2023, 7, 25)</f>
        <v>25569.3125</v>
      </c>
      <c r="B503" s="6">
        <v>83.64</v>
      </c>
    </row>
    <row x14ac:dyDescent="0.25" r="504" customHeight="1" ht="18.75">
      <c r="A504" s="5">
        <f>DATE(2023, 7, 24)</f>
        <v>25569.3125</v>
      </c>
      <c r="B504" s="6">
        <v>82.74</v>
      </c>
    </row>
    <row x14ac:dyDescent="0.25" r="505" customHeight="1" ht="18.75">
      <c r="A505" s="5">
        <f>DATE(2023, 7, 21)</f>
        <v>25569.3125</v>
      </c>
      <c r="B505" s="6">
        <v>81.07</v>
      </c>
    </row>
    <row x14ac:dyDescent="0.25" r="506" customHeight="1" ht="18.75">
      <c r="A506" s="5">
        <f>DATE(2023, 7, 20)</f>
        <v>25569.3125</v>
      </c>
      <c r="B506" s="6">
        <v>79.64</v>
      </c>
    </row>
    <row x14ac:dyDescent="0.25" r="507" customHeight="1" ht="18.75">
      <c r="A507" s="5">
        <f>DATE(2023, 7, 19)</f>
        <v>25569.3125</v>
      </c>
      <c r="B507" s="6">
        <v>79.46</v>
      </c>
    </row>
    <row x14ac:dyDescent="0.25" r="508" customHeight="1" ht="18.75">
      <c r="A508" s="5">
        <f>DATE(2023, 7, 18)</f>
        <v>25569.3125</v>
      </c>
      <c r="B508" s="6">
        <v>79.63</v>
      </c>
    </row>
    <row x14ac:dyDescent="0.25" r="509" customHeight="1" ht="18.75">
      <c r="A509" s="5">
        <f>DATE(2023, 7, 17)</f>
        <v>25569.3125</v>
      </c>
      <c r="B509" s="6">
        <v>78.5</v>
      </c>
    </row>
    <row x14ac:dyDescent="0.25" r="510" customHeight="1" ht="18.75">
      <c r="A510" s="5">
        <f>DATE(2023, 7, 14)</f>
        <v>25569.3125</v>
      </c>
      <c r="B510" s="6">
        <v>79.87</v>
      </c>
    </row>
    <row x14ac:dyDescent="0.25" r="511" customHeight="1" ht="18.75">
      <c r="A511" s="5">
        <f>DATE(2023, 7, 13)</f>
        <v>25569.3125</v>
      </c>
      <c r="B511" s="6">
        <v>81.36</v>
      </c>
    </row>
    <row x14ac:dyDescent="0.25" r="512" customHeight="1" ht="18.75">
      <c r="A512" s="5">
        <f>DATE(2023, 7, 12)</f>
        <v>25569.3125</v>
      </c>
      <c r="B512" s="6">
        <v>80.11</v>
      </c>
    </row>
    <row x14ac:dyDescent="0.25" r="513" customHeight="1" ht="18.75">
      <c r="A513" s="5">
        <f>DATE(2023, 7, 11)</f>
        <v>25569.3125</v>
      </c>
      <c r="B513" s="6">
        <v>79.4</v>
      </c>
    </row>
    <row x14ac:dyDescent="0.25" r="514" customHeight="1" ht="18.75">
      <c r="A514" s="5">
        <f>DATE(2023, 7, 10)</f>
        <v>25569.3125</v>
      </c>
      <c r="B514" s="6">
        <v>77.69</v>
      </c>
    </row>
    <row x14ac:dyDescent="0.25" r="515" customHeight="1" ht="18.75">
      <c r="A515" s="5">
        <f>DATE(2023, 7, 7)</f>
        <v>25569.3125</v>
      </c>
      <c r="B515" s="6">
        <v>78.47</v>
      </c>
    </row>
    <row x14ac:dyDescent="0.25" r="516" customHeight="1" ht="18.75">
      <c r="A516" s="5">
        <f>DATE(2023, 7, 6)</f>
        <v>25569.3125</v>
      </c>
      <c r="B516" s="6">
        <v>76.52</v>
      </c>
    </row>
    <row x14ac:dyDescent="0.25" r="517" customHeight="1" ht="18.75">
      <c r="A517" s="5">
        <f>DATE(2023, 7, 5)</f>
        <v>25569.3125</v>
      </c>
      <c r="B517" s="6">
        <v>76.65</v>
      </c>
    </row>
    <row x14ac:dyDescent="0.25" r="518" customHeight="1" ht="18.75">
      <c r="A518" s="5">
        <f>DATE(2023, 7, 4)</f>
        <v>25569.3125</v>
      </c>
      <c r="B518" s="6">
        <v>76.25</v>
      </c>
    </row>
    <row x14ac:dyDescent="0.25" r="519" customHeight="1" ht="18.75">
      <c r="A519" s="5">
        <f>DATE(2023, 7, 3)</f>
        <v>25569.3125</v>
      </c>
      <c r="B519" s="6">
        <v>74.65</v>
      </c>
    </row>
    <row x14ac:dyDescent="0.25" r="520" customHeight="1" ht="18.75">
      <c r="A520" s="5">
        <f>DATE(2023, 6, 30)</f>
        <v>25569.3125</v>
      </c>
      <c r="B520" s="6">
        <v>74.9</v>
      </c>
    </row>
    <row x14ac:dyDescent="0.25" r="521" customHeight="1" ht="18.75">
      <c r="A521" s="5">
        <f>DATE(2023, 6, 29)</f>
        <v>25569.3125</v>
      </c>
      <c r="B521" s="6">
        <v>74.34</v>
      </c>
    </row>
    <row x14ac:dyDescent="0.25" r="522" customHeight="1" ht="18.75">
      <c r="A522" s="5">
        <f>DATE(2023, 6, 28)</f>
        <v>25569.3125</v>
      </c>
      <c r="B522" s="6">
        <v>74.03</v>
      </c>
    </row>
    <row x14ac:dyDescent="0.25" r="523" customHeight="1" ht="18.75">
      <c r="A523" s="5">
        <f>DATE(2023, 6, 27)</f>
        <v>25569.3125</v>
      </c>
      <c r="B523" s="6">
        <v>72.26</v>
      </c>
    </row>
    <row x14ac:dyDescent="0.25" r="524" customHeight="1" ht="18.75">
      <c r="A524" s="5">
        <f>DATE(2023, 6, 26)</f>
        <v>25569.3125</v>
      </c>
      <c r="B524" s="6">
        <v>74.18</v>
      </c>
    </row>
    <row x14ac:dyDescent="0.25" r="525" customHeight="1" ht="18.75">
      <c r="A525" s="5">
        <f>DATE(2023, 6, 23)</f>
        <v>25569.3125</v>
      </c>
      <c r="B525" s="6">
        <v>73.85</v>
      </c>
    </row>
    <row x14ac:dyDescent="0.25" r="526" customHeight="1" ht="18.75">
      <c r="A526" s="5">
        <f>DATE(2023, 6, 22)</f>
        <v>25569.3125</v>
      </c>
      <c r="B526" s="6">
        <v>74.14</v>
      </c>
    </row>
    <row x14ac:dyDescent="0.25" r="527" customHeight="1" ht="18.75">
      <c r="A527" s="5">
        <f>DATE(2023, 6, 21)</f>
        <v>25569.3125</v>
      </c>
      <c r="B527" s="6">
        <v>77.12</v>
      </c>
    </row>
    <row x14ac:dyDescent="0.25" r="528" customHeight="1" ht="18.75">
      <c r="A528" s="5">
        <f>DATE(2023, 6, 20)</f>
        <v>25569.3125</v>
      </c>
      <c r="B528" s="6">
        <v>75.9</v>
      </c>
    </row>
    <row x14ac:dyDescent="0.25" r="529" customHeight="1" ht="18.75">
      <c r="A529" s="5">
        <f>DATE(2023, 6, 19)</f>
        <v>25569.3125</v>
      </c>
      <c r="B529" s="6">
        <v>76.09</v>
      </c>
    </row>
    <row x14ac:dyDescent="0.25" r="530" customHeight="1" ht="18.75">
      <c r="A530" s="5">
        <f>DATE(2023, 6, 16)</f>
        <v>25569.3125</v>
      </c>
      <c r="B530" s="6">
        <v>76.61</v>
      </c>
    </row>
    <row x14ac:dyDescent="0.25" r="531" customHeight="1" ht="18.75">
      <c r="A531" s="5">
        <f>DATE(2023, 6, 15)</f>
        <v>25569.3125</v>
      </c>
      <c r="B531" s="6">
        <v>75.67</v>
      </c>
    </row>
    <row x14ac:dyDescent="0.25" r="532" customHeight="1" ht="18.75">
      <c r="A532" s="5">
        <f>DATE(2023, 6, 14)</f>
        <v>25569.3125</v>
      </c>
      <c r="B532" s="6">
        <v>73.2</v>
      </c>
    </row>
    <row x14ac:dyDescent="0.25" r="533" customHeight="1" ht="18.75">
      <c r="A533" s="5">
        <f>DATE(2023, 6, 13)</f>
        <v>25569.3125</v>
      </c>
      <c r="B533" s="6">
        <v>74.29</v>
      </c>
    </row>
    <row x14ac:dyDescent="0.25" r="534" customHeight="1" ht="18.75">
      <c r="A534" s="5">
        <f>DATE(2023, 6, 12)</f>
        <v>25569.3125</v>
      </c>
      <c r="B534" s="6">
        <v>71.84</v>
      </c>
    </row>
    <row x14ac:dyDescent="0.25" r="535" customHeight="1" ht="18.75">
      <c r="A535" s="5">
        <f>DATE(2023, 6, 9)</f>
        <v>25569.3125</v>
      </c>
      <c r="B535" s="6">
        <v>74.79</v>
      </c>
    </row>
    <row x14ac:dyDescent="0.25" r="536" customHeight="1" ht="18.75">
      <c r="A536" s="5">
        <f>DATE(2023, 6, 8)</f>
        <v>25569.3125</v>
      </c>
      <c r="B536" s="6">
        <v>75.96</v>
      </c>
    </row>
    <row x14ac:dyDescent="0.25" r="537" customHeight="1" ht="18.75">
      <c r="A537" s="5">
        <f>DATE(2023, 6, 7)</f>
        <v>25569.3125</v>
      </c>
      <c r="B537" s="6">
        <v>76.95</v>
      </c>
    </row>
    <row x14ac:dyDescent="0.25" r="538" customHeight="1" ht="18.75">
      <c r="A538" s="5">
        <f>DATE(2023, 6, 6)</f>
        <v>25569.3125</v>
      </c>
      <c r="B538" s="6">
        <v>76.29</v>
      </c>
    </row>
    <row x14ac:dyDescent="0.25" r="539" customHeight="1" ht="18.75">
      <c r="A539" s="5">
        <f>DATE(2023, 6, 5)</f>
        <v>25569.3125</v>
      </c>
      <c r="B539" s="6">
        <v>76.71</v>
      </c>
    </row>
    <row x14ac:dyDescent="0.25" r="540" customHeight="1" ht="18.75">
      <c r="A540" s="5">
        <f>DATE(2023, 6, 2)</f>
        <v>25569.3125</v>
      </c>
      <c r="B540" s="6">
        <v>76.13</v>
      </c>
    </row>
    <row x14ac:dyDescent="0.25" r="541" customHeight="1" ht="18.75">
      <c r="A541" s="5">
        <f>DATE(2023, 6, 1)</f>
        <v>25569.3125</v>
      </c>
      <c r="B541" s="6">
        <v>74.28</v>
      </c>
    </row>
    <row x14ac:dyDescent="0.25" r="542" customHeight="1" ht="18.75">
      <c r="A542" s="5">
        <f>DATE(2023, 5, 31)</f>
        <v>25569.3125</v>
      </c>
      <c r="B542" s="6">
        <v>72.66</v>
      </c>
    </row>
    <row x14ac:dyDescent="0.25" r="543" customHeight="1" ht="18.75">
      <c r="A543" s="5">
        <f>DATE(2023, 5, 30)</f>
        <v>25569.3125</v>
      </c>
      <c r="B543" s="6">
        <v>73.54</v>
      </c>
    </row>
    <row x14ac:dyDescent="0.25" r="544" customHeight="1" ht="18.75">
      <c r="A544" s="5">
        <f>DATE(2023, 5, 29)</f>
        <v>25569.3125</v>
      </c>
      <c r="B544" s="6">
        <v>77.07</v>
      </c>
    </row>
    <row x14ac:dyDescent="0.25" r="545" customHeight="1" ht="18.75">
      <c r="A545" s="5">
        <f>DATE(2023, 5, 26)</f>
        <v>25569.3125</v>
      </c>
      <c r="B545" s="6">
        <v>76.95</v>
      </c>
    </row>
    <row x14ac:dyDescent="0.25" r="546" customHeight="1" ht="18.75">
      <c r="A546" s="5">
        <f>DATE(2023, 5, 25)</f>
        <v>25569.3125</v>
      </c>
      <c r="B546" s="6">
        <v>76.26</v>
      </c>
    </row>
    <row x14ac:dyDescent="0.25" r="547" customHeight="1" ht="18.75">
      <c r="A547" s="5">
        <f>DATE(2023, 5, 24)</f>
        <v>25569.3125</v>
      </c>
      <c r="B547" s="6">
        <v>78.36</v>
      </c>
    </row>
    <row x14ac:dyDescent="0.25" r="548" customHeight="1" ht="18.75">
      <c r="A548" s="5">
        <f>DATE(2023, 5, 23)</f>
        <v>25569.3125</v>
      </c>
      <c r="B548" s="6">
        <v>76.84</v>
      </c>
    </row>
    <row x14ac:dyDescent="0.25" r="549" customHeight="1" ht="18.75">
      <c r="A549" s="5">
        <f>DATE(2023, 5, 22)</f>
        <v>25569.3125</v>
      </c>
      <c r="B549" s="6">
        <v>75.99</v>
      </c>
    </row>
    <row x14ac:dyDescent="0.25" r="550" customHeight="1" ht="18.75">
      <c r="A550" s="5">
        <f>DATE(2023, 5, 19)</f>
        <v>25569.3125</v>
      </c>
      <c r="B550" s="6">
        <v>75.58</v>
      </c>
    </row>
    <row x14ac:dyDescent="0.25" r="551" customHeight="1" ht="18.75">
      <c r="A551" s="5">
        <f>DATE(2023, 5, 18)</f>
        <v>25569.3125</v>
      </c>
      <c r="B551" s="6">
        <v>75.86</v>
      </c>
    </row>
    <row x14ac:dyDescent="0.25" r="552" customHeight="1" ht="18.75">
      <c r="A552" s="5">
        <f>DATE(2023, 5, 17)</f>
        <v>25569.3125</v>
      </c>
      <c r="B552" s="6">
        <v>76.96</v>
      </c>
    </row>
    <row x14ac:dyDescent="0.25" r="553" customHeight="1" ht="18.75">
      <c r="A553" s="5">
        <f>DATE(2023, 5, 16)</f>
        <v>25569.3125</v>
      </c>
      <c r="B553" s="6">
        <v>74.91</v>
      </c>
    </row>
    <row x14ac:dyDescent="0.25" r="554" customHeight="1" ht="18.75">
      <c r="A554" s="5">
        <f>DATE(2023, 5, 15)</f>
        <v>25569.3125</v>
      </c>
      <c r="B554" s="6">
        <v>75.23</v>
      </c>
    </row>
    <row x14ac:dyDescent="0.25" r="555" customHeight="1" ht="18.75">
      <c r="A555" s="5">
        <f>DATE(2023, 5, 12)</f>
        <v>25569.3125</v>
      </c>
      <c r="B555" s="6">
        <v>74.17</v>
      </c>
    </row>
    <row x14ac:dyDescent="0.25" r="556" customHeight="1" ht="18.75">
      <c r="A556" s="5">
        <f>DATE(2023, 5, 11)</f>
        <v>25569.3125</v>
      </c>
      <c r="B556" s="6">
        <v>74.98</v>
      </c>
    </row>
    <row x14ac:dyDescent="0.25" r="557" customHeight="1" ht="18.75">
      <c r="A557" s="5">
        <f>DATE(2023, 5, 10)</f>
        <v>25569.3125</v>
      </c>
      <c r="B557" s="6">
        <v>76.41</v>
      </c>
    </row>
    <row x14ac:dyDescent="0.25" r="558" customHeight="1" ht="18.75">
      <c r="A558" s="5">
        <f>DATE(2023, 5, 9)</f>
        <v>25569.3125</v>
      </c>
      <c r="B558" s="6">
        <v>77.44</v>
      </c>
    </row>
    <row x14ac:dyDescent="0.25" r="559" customHeight="1" ht="18.75">
      <c r="A559" s="5">
        <f>DATE(2023, 5, 8)</f>
        <v>25569.3125</v>
      </c>
      <c r="B559" s="6">
        <v>77.01</v>
      </c>
    </row>
    <row x14ac:dyDescent="0.25" r="560" customHeight="1" ht="18.75">
      <c r="A560" s="5">
        <f>DATE(2023, 5, 5)</f>
        <v>25569.3125</v>
      </c>
      <c r="B560" s="6">
        <v>75.3</v>
      </c>
    </row>
    <row x14ac:dyDescent="0.25" r="561" customHeight="1" ht="18.75">
      <c r="A561" s="5">
        <f>DATE(2023, 5, 4)</f>
        <v>25569.3125</v>
      </c>
      <c r="B561" s="6">
        <v>72.5</v>
      </c>
    </row>
    <row x14ac:dyDescent="0.25" r="562" customHeight="1" ht="18.75">
      <c r="A562" s="5">
        <f>DATE(2023, 5, 3)</f>
        <v>25569.3125</v>
      </c>
      <c r="B562" s="6">
        <v>72.33</v>
      </c>
    </row>
    <row x14ac:dyDescent="0.25" r="563" customHeight="1" ht="18.75">
      <c r="A563" s="5">
        <f>DATE(2023, 5, 2)</f>
        <v>25569.3125</v>
      </c>
      <c r="B563" s="6">
        <v>75.32</v>
      </c>
    </row>
    <row x14ac:dyDescent="0.25" r="564" customHeight="1" ht="18.75">
      <c r="A564" s="5">
        <f>DATE(2023, 5, 1)</f>
        <v>25569.3125</v>
      </c>
      <c r="B564" s="6">
        <v>79.31</v>
      </c>
    </row>
    <row x14ac:dyDescent="0.25" r="565" customHeight="1" ht="18.75">
      <c r="A565" s="5">
        <f>DATE(2023, 4, 28)</f>
        <v>25569.3125</v>
      </c>
      <c r="B565" s="6">
        <v>79.54</v>
      </c>
    </row>
    <row x14ac:dyDescent="0.25" r="566" customHeight="1" ht="18.75">
      <c r="A566" s="5">
        <f>DATE(2023, 4, 27)</f>
        <v>25569.3125</v>
      </c>
      <c r="B566" s="6">
        <v>78.37</v>
      </c>
    </row>
    <row x14ac:dyDescent="0.25" r="567" customHeight="1" ht="18.75">
      <c r="A567" s="5">
        <f>DATE(2023, 4, 26)</f>
        <v>25569.3125</v>
      </c>
      <c r="B567" s="6">
        <v>77.69</v>
      </c>
    </row>
    <row x14ac:dyDescent="0.25" r="568" customHeight="1" ht="18.75">
      <c r="A568" s="5">
        <f>DATE(2023, 4, 25)</f>
        <v>25569.3125</v>
      </c>
      <c r="B568" s="6">
        <v>80.77</v>
      </c>
    </row>
    <row x14ac:dyDescent="0.25" r="569" customHeight="1" ht="18.75">
      <c r="A569" s="5">
        <f>DATE(2023, 4, 24)</f>
        <v>25569.3125</v>
      </c>
      <c r="B569" s="6">
        <v>82.73</v>
      </c>
    </row>
    <row x14ac:dyDescent="0.25" r="570" customHeight="1" ht="18.75">
      <c r="A570" s="5">
        <f>DATE(2023, 4, 21)</f>
        <v>25569.3125</v>
      </c>
      <c r="B570" s="6">
        <v>81.66</v>
      </c>
    </row>
    <row x14ac:dyDescent="0.25" r="571" customHeight="1" ht="18.75">
      <c r="A571" s="5">
        <f>DATE(2023, 4, 20)</f>
        <v>25569.3125</v>
      </c>
      <c r="B571" s="6">
        <v>81.1</v>
      </c>
    </row>
    <row x14ac:dyDescent="0.25" r="572" customHeight="1" ht="18.75">
      <c r="A572" s="5">
        <f>DATE(2023, 4, 19)</f>
        <v>25569.3125</v>
      </c>
      <c r="B572" s="6">
        <v>83.12</v>
      </c>
    </row>
    <row x14ac:dyDescent="0.25" r="573" customHeight="1" ht="18.75">
      <c r="A573" s="5">
        <f>DATE(2023, 4, 18)</f>
        <v>25569.3125</v>
      </c>
      <c r="B573" s="6">
        <v>84.77</v>
      </c>
    </row>
    <row x14ac:dyDescent="0.25" r="574" customHeight="1" ht="18.75">
      <c r="A574" s="5">
        <f>DATE(2023, 4, 17)</f>
        <v>25569.3125</v>
      </c>
      <c r="B574" s="6">
        <v>84.76</v>
      </c>
    </row>
    <row x14ac:dyDescent="0.25" r="575" customHeight="1" ht="18.75">
      <c r="A575" s="5">
        <f>DATE(2023, 4, 14)</f>
        <v>25569.3125</v>
      </c>
      <c r="B575" s="6">
        <v>86.31</v>
      </c>
    </row>
    <row x14ac:dyDescent="0.25" r="576" customHeight="1" ht="18.75">
      <c r="A576" s="5">
        <f>DATE(2023, 4, 13)</f>
        <v>25569.3125</v>
      </c>
      <c r="B576" s="6">
        <v>86.09</v>
      </c>
    </row>
    <row x14ac:dyDescent="0.25" r="577" customHeight="1" ht="18.75">
      <c r="A577" s="5">
        <f>DATE(2023, 4, 12)</f>
        <v>25569.3125</v>
      </c>
      <c r="B577" s="6">
        <v>87.33</v>
      </c>
    </row>
    <row x14ac:dyDescent="0.25" r="578" customHeight="1" ht="18.75">
      <c r="A578" s="5">
        <f>DATE(2023, 4, 11)</f>
        <v>25569.3125</v>
      </c>
      <c r="B578" s="6">
        <v>85.61</v>
      </c>
    </row>
    <row x14ac:dyDescent="0.25" r="579" customHeight="1" ht="18.75">
      <c r="A579" s="5">
        <f>DATE(2023, 4, 10)</f>
        <v>25569.3125</v>
      </c>
      <c r="B579" s="6">
        <v>84.18</v>
      </c>
    </row>
    <row x14ac:dyDescent="0.25" r="580" customHeight="1" ht="18.75">
      <c r="A580" s="5">
        <f>DATE(2023, 4, 7)</f>
        <v>25569.3125</v>
      </c>
      <c r="B580" s="6">
        <v>85.12</v>
      </c>
    </row>
    <row x14ac:dyDescent="0.25" r="581" customHeight="1" ht="18.75">
      <c r="A581" s="5">
        <f>DATE(2023, 4, 6)</f>
        <v>25569.3125</v>
      </c>
      <c r="B581" s="6">
        <v>85.12</v>
      </c>
    </row>
    <row x14ac:dyDescent="0.25" r="582" customHeight="1" ht="18.75">
      <c r="A582" s="5">
        <f>DATE(2023, 4, 5)</f>
        <v>25569.3125</v>
      </c>
      <c r="B582" s="6">
        <v>84.99</v>
      </c>
    </row>
    <row x14ac:dyDescent="0.25" r="583" customHeight="1" ht="18.75">
      <c r="A583" s="5">
        <f>DATE(2023, 4, 4)</f>
        <v>25569.3125</v>
      </c>
      <c r="B583" s="6">
        <v>84.94</v>
      </c>
    </row>
    <row x14ac:dyDescent="0.25" r="584" customHeight="1" ht="18.75">
      <c r="A584" s="5">
        <f>DATE(2023, 4, 3)</f>
        <v>25569.3125</v>
      </c>
      <c r="B584" s="6">
        <v>84.93</v>
      </c>
    </row>
    <row x14ac:dyDescent="0.25" r="585" customHeight="1" ht="18.75">
      <c r="A585" s="5">
        <f>DATE(2023, 3, 31)</f>
        <v>25569.3125</v>
      </c>
      <c r="B585" s="6">
        <v>79.77</v>
      </c>
    </row>
    <row x14ac:dyDescent="0.25" r="586" customHeight="1" ht="18.75">
      <c r="A586" s="5">
        <f>DATE(2023, 3, 30)</f>
        <v>25569.3125</v>
      </c>
      <c r="B586" s="6">
        <v>79.27</v>
      </c>
    </row>
    <row x14ac:dyDescent="0.25" r="587" customHeight="1" ht="18.75">
      <c r="A587" s="5">
        <f>DATE(2023, 3, 29)</f>
        <v>25569.3125</v>
      </c>
      <c r="B587" s="6">
        <v>78.28</v>
      </c>
    </row>
    <row x14ac:dyDescent="0.25" r="588" customHeight="1" ht="18.75">
      <c r="A588" s="5">
        <f>DATE(2023, 3, 28)</f>
        <v>25569.3125</v>
      </c>
      <c r="B588" s="6">
        <v>78.65</v>
      </c>
    </row>
    <row x14ac:dyDescent="0.25" r="589" customHeight="1" ht="18.75">
      <c r="A589" s="5">
        <f>DATE(2023, 3, 27)</f>
        <v>25569.3125</v>
      </c>
      <c r="B589" s="6">
        <v>78.12</v>
      </c>
    </row>
    <row x14ac:dyDescent="0.25" r="590" customHeight="1" ht="18.75">
      <c r="A590" s="5">
        <f>DATE(2023, 3, 24)</f>
        <v>25569.3125</v>
      </c>
      <c r="B590" s="6">
        <v>74.99</v>
      </c>
    </row>
    <row x14ac:dyDescent="0.25" r="591" customHeight="1" ht="18.75">
      <c r="A591" s="5">
        <f>DATE(2023, 3, 23)</f>
        <v>25569.3125</v>
      </c>
      <c r="B591" s="6">
        <v>75.91</v>
      </c>
    </row>
    <row x14ac:dyDescent="0.25" r="592" customHeight="1" ht="18.75">
      <c r="A592" s="5">
        <f>DATE(2023, 3, 22)</f>
        <v>25569.3125</v>
      </c>
      <c r="B592" s="6">
        <v>76.69</v>
      </c>
    </row>
    <row x14ac:dyDescent="0.25" r="593" customHeight="1" ht="18.75">
      <c r="A593" s="5">
        <f>DATE(2023, 3, 21)</f>
        <v>25569.3125</v>
      </c>
      <c r="B593" s="6">
        <v>75.32</v>
      </c>
    </row>
    <row x14ac:dyDescent="0.25" r="594" customHeight="1" ht="18.75">
      <c r="A594" s="5">
        <f>DATE(2023, 3, 20)</f>
        <v>25569.3125</v>
      </c>
      <c r="B594" s="6">
        <v>73.79</v>
      </c>
    </row>
    <row x14ac:dyDescent="0.25" r="595" customHeight="1" ht="18.75">
      <c r="A595" s="5">
        <f>DATE(2023, 3, 17)</f>
        <v>25569.3125</v>
      </c>
      <c r="B595" s="6">
        <v>72.97</v>
      </c>
    </row>
    <row x14ac:dyDescent="0.25" r="596" customHeight="1" ht="18.75">
      <c r="A596" s="5">
        <f>DATE(2023, 3, 16)</f>
        <v>25569.3125</v>
      </c>
      <c r="B596" s="6">
        <v>74.7</v>
      </c>
    </row>
    <row x14ac:dyDescent="0.25" r="597" customHeight="1" ht="18.75">
      <c r="A597" s="5">
        <f>DATE(2023, 3, 15)</f>
        <v>25569.3125</v>
      </c>
      <c r="B597" s="6">
        <v>73.69</v>
      </c>
    </row>
    <row x14ac:dyDescent="0.25" r="598" customHeight="1" ht="18.75">
      <c r="A598" s="5">
        <f>DATE(2023, 3, 14)</f>
        <v>25569.3125</v>
      </c>
      <c r="B598" s="6">
        <v>77.45</v>
      </c>
    </row>
    <row x14ac:dyDescent="0.25" r="599" customHeight="1" ht="18.75">
      <c r="A599" s="5">
        <f>DATE(2023, 3, 13)</f>
        <v>25569.3125</v>
      </c>
      <c r="B599" s="6">
        <v>80.77</v>
      </c>
    </row>
    <row x14ac:dyDescent="0.25" r="600" customHeight="1" ht="18.75">
      <c r="A600" s="5">
        <f>DATE(2023, 3, 10)</f>
        <v>25569.3125</v>
      </c>
      <c r="B600" s="6">
        <v>82.78</v>
      </c>
    </row>
    <row x14ac:dyDescent="0.25" r="601" customHeight="1" ht="18.75">
      <c r="A601" s="5">
        <f>DATE(2023, 3, 9)</f>
        <v>25569.3125</v>
      </c>
      <c r="B601" s="6">
        <v>81.59</v>
      </c>
    </row>
    <row x14ac:dyDescent="0.25" r="602" customHeight="1" ht="18.75">
      <c r="A602" s="5">
        <f>DATE(2023, 3, 8)</f>
        <v>25569.3125</v>
      </c>
      <c r="B602" s="6">
        <v>82.66</v>
      </c>
    </row>
    <row x14ac:dyDescent="0.25" r="603" customHeight="1" ht="18.75">
      <c r="A603" s="5">
        <f>DATE(2023, 3, 7)</f>
        <v>25569.3125</v>
      </c>
      <c r="B603" s="6">
        <v>83.29</v>
      </c>
    </row>
    <row x14ac:dyDescent="0.25" r="604" customHeight="1" ht="18.75">
      <c r="A604" s="5">
        <f>DATE(2023, 3, 6)</f>
        <v>25569.3125</v>
      </c>
      <c r="B604" s="6">
        <v>86.18</v>
      </c>
    </row>
    <row x14ac:dyDescent="0.25" r="605" customHeight="1" ht="18.75">
      <c r="A605" s="5">
        <f>DATE(2023, 3, 3)</f>
        <v>25569.3125</v>
      </c>
      <c r="B605" s="6">
        <v>85.83</v>
      </c>
    </row>
    <row x14ac:dyDescent="0.25" r="606" customHeight="1" ht="18.75">
      <c r="A606" s="5">
        <f>DATE(2023, 3, 2)</f>
        <v>25569.3125</v>
      </c>
      <c r="B606" s="6">
        <v>84.75</v>
      </c>
    </row>
    <row x14ac:dyDescent="0.25" r="607" customHeight="1" ht="18.75">
      <c r="A607" s="5">
        <f>DATE(2023, 3, 1)</f>
        <v>25569.3125</v>
      </c>
      <c r="B607" s="6">
        <v>84.31</v>
      </c>
    </row>
    <row x14ac:dyDescent="0.25" r="608" customHeight="1" ht="18.75">
      <c r="A608" s="5">
        <f>DATE(2023, 2, 28)</f>
        <v>25569.3125</v>
      </c>
      <c r="B608" s="6">
        <v>83.89</v>
      </c>
    </row>
    <row x14ac:dyDescent="0.25" r="609" customHeight="1" ht="18.75">
      <c r="A609" s="5">
        <f>DATE(2023, 2, 27)</f>
        <v>25569.3125</v>
      </c>
      <c r="B609" s="6">
        <v>82.45</v>
      </c>
    </row>
    <row x14ac:dyDescent="0.25" r="610" customHeight="1" ht="18.75">
      <c r="A610" s="5">
        <f>DATE(2023, 2, 24)</f>
        <v>25569.3125</v>
      </c>
      <c r="B610" s="6">
        <v>83.16</v>
      </c>
    </row>
    <row x14ac:dyDescent="0.25" r="611" customHeight="1" ht="18.75">
      <c r="A611" s="5">
        <f>DATE(2023, 2, 23)</f>
        <v>25569.3125</v>
      </c>
      <c r="B611" s="6">
        <v>82.21</v>
      </c>
    </row>
    <row x14ac:dyDescent="0.25" r="612" customHeight="1" ht="18.75">
      <c r="A612" s="5">
        <f>DATE(2023, 2, 22)</f>
        <v>25569.3125</v>
      </c>
      <c r="B612" s="6">
        <v>80.6</v>
      </c>
    </row>
    <row x14ac:dyDescent="0.25" r="613" customHeight="1" ht="18.75">
      <c r="A613" s="5">
        <f>DATE(2023, 2, 21)</f>
        <v>25569.3125</v>
      </c>
      <c r="B613" s="6">
        <v>83.05</v>
      </c>
    </row>
    <row x14ac:dyDescent="0.25" r="614" customHeight="1" ht="18.75">
      <c r="A614" s="5">
        <f>DATE(2023, 2, 20)</f>
        <v>25569.3125</v>
      </c>
      <c r="B614" s="6">
        <v>84.07</v>
      </c>
    </row>
    <row x14ac:dyDescent="0.25" r="615" customHeight="1" ht="18.75">
      <c r="A615" s="5">
        <f>DATE(2023, 2, 17)</f>
        <v>25569.3125</v>
      </c>
      <c r="B615" s="6">
        <v>83</v>
      </c>
    </row>
    <row x14ac:dyDescent="0.25" r="616" customHeight="1" ht="18.75">
      <c r="A616" s="5">
        <f>DATE(2023, 2, 16)</f>
        <v>25569.3125</v>
      </c>
      <c r="B616" s="6">
        <v>85.14</v>
      </c>
    </row>
    <row x14ac:dyDescent="0.25" r="617" customHeight="1" ht="18.75">
      <c r="A617" s="5">
        <f>DATE(2023, 2, 15)</f>
        <v>25569.3125</v>
      </c>
      <c r="B617" s="6">
        <v>85.38</v>
      </c>
    </row>
    <row x14ac:dyDescent="0.25" r="618" customHeight="1" ht="18.75">
      <c r="A618" s="5">
        <f>DATE(2023, 2, 14)</f>
        <v>25569.3125</v>
      </c>
      <c r="B618" s="6">
        <v>85.58</v>
      </c>
    </row>
    <row x14ac:dyDescent="0.25" r="619" customHeight="1" ht="18.75">
      <c r="A619" s="5">
        <f>DATE(2023, 2, 13)</f>
        <v>25569.3125</v>
      </c>
      <c r="B619" s="6">
        <v>86.61</v>
      </c>
    </row>
    <row x14ac:dyDescent="0.25" r="620" customHeight="1" ht="18.75">
      <c r="A620" s="5">
        <f>DATE(2023, 2, 10)</f>
        <v>25569.3125</v>
      </c>
      <c r="B620" s="6">
        <v>86.39</v>
      </c>
    </row>
    <row x14ac:dyDescent="0.25" r="621" customHeight="1" ht="18.75">
      <c r="A621" s="5">
        <f>DATE(2023, 2, 9)</f>
        <v>25569.3125</v>
      </c>
      <c r="B621" s="6">
        <v>84.5</v>
      </c>
    </row>
    <row x14ac:dyDescent="0.25" r="622" customHeight="1" ht="18.75">
      <c r="A622" s="5">
        <f>DATE(2023, 2, 8)</f>
        <v>25569.3125</v>
      </c>
      <c r="B622" s="6">
        <v>85.09</v>
      </c>
    </row>
    <row x14ac:dyDescent="0.25" r="623" customHeight="1" ht="18.75">
      <c r="A623" s="5">
        <f>DATE(2023, 2, 7)</f>
        <v>25569.3125</v>
      </c>
      <c r="B623" s="6">
        <v>83.69</v>
      </c>
    </row>
    <row x14ac:dyDescent="0.25" r="624" customHeight="1" ht="18.75">
      <c r="A624" s="5">
        <f>DATE(2023, 2, 6)</f>
        <v>25569.3125</v>
      </c>
      <c r="B624" s="6">
        <v>80.99</v>
      </c>
    </row>
    <row x14ac:dyDescent="0.25" r="625" customHeight="1" ht="18.75">
      <c r="A625" s="5">
        <f>DATE(2023, 2, 3)</f>
        <v>25569.3125</v>
      </c>
      <c r="B625" s="6">
        <v>79.94</v>
      </c>
    </row>
    <row x14ac:dyDescent="0.25" r="626" customHeight="1" ht="18.75">
      <c r="A626" s="5">
        <f>DATE(2023, 2, 2)</f>
        <v>25569.3125</v>
      </c>
      <c r="B626" s="6">
        <v>82.17</v>
      </c>
    </row>
    <row x14ac:dyDescent="0.25" r="627" customHeight="1" ht="18.75">
      <c r="A627" s="5">
        <f>DATE(2023, 2, 1)</f>
        <v>25569.3125</v>
      </c>
      <c r="B627" s="6">
        <v>82.84</v>
      </c>
    </row>
    <row x14ac:dyDescent="0.25" r="628" customHeight="1" ht="18.75">
      <c r="A628" s="5">
        <f>DATE(2023, 1, 31)</f>
        <v>25569.3125</v>
      </c>
      <c r="B628" s="6">
        <v>84.49</v>
      </c>
    </row>
    <row x14ac:dyDescent="0.25" r="629" customHeight="1" ht="18.75">
      <c r="A629" s="5">
        <f>DATE(2023, 1, 30)</f>
        <v>25569.3125</v>
      </c>
      <c r="B629" s="6">
        <v>84.9</v>
      </c>
    </row>
    <row x14ac:dyDescent="0.25" r="630" customHeight="1" ht="18.75">
      <c r="A630" s="5">
        <f>DATE(2023, 1, 27)</f>
        <v>25569.3125</v>
      </c>
      <c r="B630" s="6">
        <v>86.66</v>
      </c>
    </row>
    <row x14ac:dyDescent="0.25" r="631" customHeight="1" ht="18.75">
      <c r="A631" s="5">
        <f>DATE(2023, 1, 26)</f>
        <v>25569.3125</v>
      </c>
      <c r="B631" s="6">
        <v>87.47</v>
      </c>
    </row>
    <row x14ac:dyDescent="0.25" r="632" customHeight="1" ht="18.75">
      <c r="A632" s="5">
        <f>DATE(2023, 1, 25)</f>
        <v>25569.3125</v>
      </c>
      <c r="B632" s="6">
        <v>86.12</v>
      </c>
    </row>
    <row x14ac:dyDescent="0.25" r="633" customHeight="1" ht="18.75">
      <c r="A633" s="5">
        <f>DATE(2023, 1, 24)</f>
        <v>25569.3125</v>
      </c>
      <c r="B633" s="6">
        <v>86.13</v>
      </c>
    </row>
    <row x14ac:dyDescent="0.25" r="634" customHeight="1" ht="18.75">
      <c r="A634" s="5">
        <f>DATE(2023, 1, 23)</f>
        <v>25569.3125</v>
      </c>
      <c r="B634" s="6">
        <v>88.19</v>
      </c>
    </row>
    <row x14ac:dyDescent="0.25" r="635" customHeight="1" ht="18.75">
      <c r="A635" s="5">
        <f>DATE(2023, 1, 20)</f>
        <v>25569.3125</v>
      </c>
      <c r="B635" s="6">
        <v>87.63</v>
      </c>
    </row>
    <row x14ac:dyDescent="0.25" r="636" customHeight="1" ht="18.75">
      <c r="A636" s="5">
        <f>DATE(2023, 1, 19)</f>
        <v>25569.3125</v>
      </c>
      <c r="B636" s="6">
        <v>86.16</v>
      </c>
    </row>
    <row x14ac:dyDescent="0.25" r="637" customHeight="1" ht="18.75">
      <c r="A637" s="5">
        <f>DATE(2023, 1, 18)</f>
        <v>25569.3125</v>
      </c>
      <c r="B637" s="6">
        <v>84.98</v>
      </c>
    </row>
    <row x14ac:dyDescent="0.25" r="638" customHeight="1" ht="18.75">
      <c r="A638" s="5">
        <f>DATE(2023, 1, 17)</f>
        <v>25569.3125</v>
      </c>
      <c r="B638" s="6">
        <v>85.92</v>
      </c>
    </row>
    <row x14ac:dyDescent="0.25" r="639" customHeight="1" ht="18.75">
      <c r="A639" s="5">
        <f>DATE(2023, 1, 16)</f>
        <v>25569.3125</v>
      </c>
      <c r="B639" s="6">
        <v>84.46</v>
      </c>
    </row>
    <row x14ac:dyDescent="0.25" r="640" customHeight="1" ht="18.75">
      <c r="A640" s="5">
        <f>DATE(2023, 1, 13)</f>
        <v>25569.3125</v>
      </c>
      <c r="B640" s="6">
        <v>85.28</v>
      </c>
    </row>
    <row x14ac:dyDescent="0.25" r="641" customHeight="1" ht="18.75">
      <c r="A641" s="5">
        <f>DATE(2023, 1, 12)</f>
        <v>25569.3125</v>
      </c>
      <c r="B641" s="6">
        <v>84.03</v>
      </c>
    </row>
    <row x14ac:dyDescent="0.25" r="642" customHeight="1" ht="18.75">
      <c r="A642" s="5">
        <f>DATE(2023, 1, 11)</f>
        <v>25569.3125</v>
      </c>
      <c r="B642" s="6">
        <v>82.67</v>
      </c>
    </row>
    <row x14ac:dyDescent="0.25" r="643" customHeight="1" ht="18.75">
      <c r="A643" s="5">
        <f>DATE(2023, 1, 10)</f>
        <v>25569.3125</v>
      </c>
      <c r="B643" s="6">
        <v>80.1</v>
      </c>
    </row>
    <row x14ac:dyDescent="0.25" r="644" customHeight="1" ht="18.75">
      <c r="A644" s="5">
        <f>DATE(2023, 1, 9)</f>
        <v>25569.3125</v>
      </c>
      <c r="B644" s="6">
        <v>79.65</v>
      </c>
    </row>
    <row x14ac:dyDescent="0.25" r="645" customHeight="1" ht="18.75">
      <c r="A645" s="5">
        <f>DATE(2023, 1, 6)</f>
        <v>25569.3125</v>
      </c>
      <c r="B645" s="6">
        <v>78.57</v>
      </c>
    </row>
    <row x14ac:dyDescent="0.25" r="646" customHeight="1" ht="18.75">
      <c r="A646" s="5">
        <f>DATE(2023, 1, 5)</f>
        <v>25569.3125</v>
      </c>
      <c r="B646" s="6">
        <v>78.69</v>
      </c>
    </row>
    <row x14ac:dyDescent="0.25" r="647" customHeight="1" ht="18.75">
      <c r="A647" s="5">
        <f>DATE(2023, 1, 4)</f>
        <v>25569.3125</v>
      </c>
      <c r="B647" s="6">
        <v>77.84</v>
      </c>
    </row>
    <row x14ac:dyDescent="0.25" r="648" customHeight="1" ht="18.75">
      <c r="A648" s="5">
        <f>DATE(2023, 1, 3)</f>
        <v>25569.3125</v>
      </c>
      <c r="B648" s="6">
        <v>82.1</v>
      </c>
    </row>
    <row x14ac:dyDescent="0.25" r="649" customHeight="1" ht="18.75">
      <c r="A649" s="5">
        <f>DATE(2023, 1, 2)</f>
        <v>25569.3125</v>
      </c>
      <c r="B649" s="6">
        <v>85.91</v>
      </c>
    </row>
    <row x14ac:dyDescent="0.25" r="650" customHeight="1" ht="18.75">
      <c r="A650" s="5">
        <f>DATE(2022, 12, 30)</f>
        <v>25569.3125</v>
      </c>
      <c r="B650" s="6">
        <v>85.91</v>
      </c>
    </row>
    <row x14ac:dyDescent="0.25" r="651" customHeight="1" ht="18.75">
      <c r="A651" s="5">
        <f>DATE(2022, 12, 29)</f>
        <v>25569.3125</v>
      </c>
      <c r="B651" s="6">
        <v>82.26</v>
      </c>
    </row>
    <row x14ac:dyDescent="0.25" r="652" customHeight="1" ht="18.75">
      <c r="A652" s="5">
        <f>DATE(2022, 12, 28)</f>
        <v>25569.3125</v>
      </c>
      <c r="B652" s="6">
        <v>83.26</v>
      </c>
    </row>
    <row x14ac:dyDescent="0.25" r="653" customHeight="1" ht="18.75">
      <c r="A653" s="5">
        <f>DATE(2022, 12, 27)</f>
        <v>25569.3125</v>
      </c>
      <c r="B653" s="6">
        <v>84.33</v>
      </c>
    </row>
    <row x14ac:dyDescent="0.25" r="654" customHeight="1" ht="18.75">
      <c r="A654" s="5">
        <f>DATE(2022, 12, 26)</f>
        <v>25569.3125</v>
      </c>
      <c r="B654" s="6">
        <v>83.92</v>
      </c>
    </row>
    <row x14ac:dyDescent="0.25" r="655" customHeight="1" ht="18.75">
      <c r="A655" s="5">
        <f>DATE(2022, 12, 23)</f>
        <v>25569.3125</v>
      </c>
      <c r="B655" s="6">
        <v>83.92</v>
      </c>
    </row>
    <row x14ac:dyDescent="0.25" r="656" customHeight="1" ht="18.75">
      <c r="A656" s="5">
        <f>DATE(2022, 12, 22)</f>
        <v>25569.3125</v>
      </c>
      <c r="B656" s="6">
        <v>80.98</v>
      </c>
    </row>
    <row x14ac:dyDescent="0.25" r="657" customHeight="1" ht="18.75">
      <c r="A657" s="5">
        <f>DATE(2022, 12, 21)</f>
        <v>25569.3125</v>
      </c>
      <c r="B657" s="6">
        <v>82.2</v>
      </c>
    </row>
    <row x14ac:dyDescent="0.25" r="658" customHeight="1" ht="18.75">
      <c r="A658" s="5">
        <f>DATE(2022, 12, 20)</f>
        <v>25569.3125</v>
      </c>
      <c r="B658" s="6">
        <v>79.99</v>
      </c>
    </row>
    <row x14ac:dyDescent="0.25" r="659" customHeight="1" ht="18.75">
      <c r="A659" s="5">
        <f>DATE(2022, 12, 19)</f>
        <v>25569.3125</v>
      </c>
      <c r="B659" s="6">
        <v>79.8</v>
      </c>
    </row>
    <row x14ac:dyDescent="0.25" r="660" customHeight="1" ht="18.75">
      <c r="A660" s="5">
        <f>DATE(2022, 12, 16)</f>
        <v>25569.3125</v>
      </c>
      <c r="B660" s="6">
        <v>79.04</v>
      </c>
    </row>
    <row x14ac:dyDescent="0.25" r="661" customHeight="1" ht="18.75">
      <c r="A661" s="5">
        <f>DATE(2022, 12, 15)</f>
        <v>25569.3125</v>
      </c>
      <c r="B661" s="6">
        <v>81.21</v>
      </c>
    </row>
    <row x14ac:dyDescent="0.25" r="662" customHeight="1" ht="18.75">
      <c r="A662" s="5">
        <f>DATE(2022, 12, 14)</f>
        <v>25569.3125</v>
      </c>
      <c r="B662" s="6">
        <v>82.7</v>
      </c>
    </row>
    <row x14ac:dyDescent="0.25" r="663" customHeight="1" ht="18.75">
      <c r="A663" s="5">
        <f>DATE(2022, 12, 13)</f>
        <v>25569.3125</v>
      </c>
      <c r="B663" s="6">
        <v>80.68</v>
      </c>
    </row>
    <row x14ac:dyDescent="0.25" r="664" customHeight="1" ht="18.75">
      <c r="A664" s="5">
        <f>DATE(2022, 12, 12)</f>
        <v>25569.3125</v>
      </c>
      <c r="B664" s="6">
        <v>77.99</v>
      </c>
    </row>
    <row x14ac:dyDescent="0.25" r="665" customHeight="1" ht="18.75">
      <c r="A665" s="5">
        <f>DATE(2022, 12, 9)</f>
        <v>25569.3125</v>
      </c>
      <c r="B665" s="6">
        <v>76.1</v>
      </c>
    </row>
    <row x14ac:dyDescent="0.25" r="666" customHeight="1" ht="18.75">
      <c r="A666" s="5">
        <f>DATE(2022, 12, 8)</f>
        <v>25569.3125</v>
      </c>
      <c r="B666" s="6">
        <v>76.15</v>
      </c>
    </row>
    <row x14ac:dyDescent="0.25" r="667" customHeight="1" ht="18.75">
      <c r="A667" s="5">
        <f>DATE(2022, 12, 7)</f>
        <v>25569.3125</v>
      </c>
      <c r="B667" s="6">
        <v>77.17</v>
      </c>
    </row>
    <row x14ac:dyDescent="0.25" r="668" customHeight="1" ht="18.75">
      <c r="A668" s="5">
        <f>DATE(2022, 12, 6)</f>
        <v>25569.3125</v>
      </c>
      <c r="B668" s="6">
        <v>79.35</v>
      </c>
    </row>
    <row x14ac:dyDescent="0.25" r="669" customHeight="1" ht="18.75">
      <c r="A669" s="5">
        <f>DATE(2022, 12, 5)</f>
        <v>25569.3125</v>
      </c>
      <c r="B669" s="6">
        <v>82.68</v>
      </c>
    </row>
    <row x14ac:dyDescent="0.25" r="670" customHeight="1" ht="18.75">
      <c r="A670" s="5">
        <f>DATE(2022, 12, 2)</f>
        <v>25569.3125</v>
      </c>
      <c r="B670" s="6">
        <v>85.57</v>
      </c>
    </row>
    <row x14ac:dyDescent="0.25" r="671" customHeight="1" ht="18.75">
      <c r="A671" s="5">
        <f>DATE(2022, 12, 1)</f>
        <v>25569.3125</v>
      </c>
      <c r="B671" s="6">
        <v>86.88</v>
      </c>
    </row>
    <row x14ac:dyDescent="0.25" r="672" customHeight="1" ht="18.75">
      <c r="A672" s="5">
        <f>DATE(2022, 11, 30)</f>
        <v>25569.3125</v>
      </c>
      <c r="B672" s="6">
        <v>85.43</v>
      </c>
    </row>
    <row x14ac:dyDescent="0.25" r="673" customHeight="1" ht="18.75">
      <c r="A673" s="5">
        <f>DATE(2022, 11, 29)</f>
        <v>25569.3125</v>
      </c>
      <c r="B673" s="6">
        <v>83.03</v>
      </c>
    </row>
    <row x14ac:dyDescent="0.25" r="674" customHeight="1" ht="18.75">
      <c r="A674" s="5">
        <f>DATE(2022, 11, 28)</f>
        <v>25569.3125</v>
      </c>
      <c r="B674" s="6">
        <v>83.19</v>
      </c>
    </row>
    <row x14ac:dyDescent="0.25" r="675" customHeight="1" ht="18.75">
      <c r="A675" s="5">
        <f>DATE(2022, 11, 25)</f>
        <v>25569.3125</v>
      </c>
      <c r="B675" s="6">
        <v>83.63</v>
      </c>
    </row>
    <row x14ac:dyDescent="0.25" r="676" customHeight="1" ht="18.75">
      <c r="A676" s="5">
        <f>DATE(2022, 11, 24)</f>
        <v>25569.3125</v>
      </c>
      <c r="B676" s="6">
        <v>85.34</v>
      </c>
    </row>
    <row x14ac:dyDescent="0.25" r="677" customHeight="1" ht="18.75">
      <c r="A677" s="5">
        <f>DATE(2022, 11, 23)</f>
        <v>25569.3125</v>
      </c>
      <c r="B677" s="6">
        <v>85.41</v>
      </c>
    </row>
    <row x14ac:dyDescent="0.25" r="678" customHeight="1" ht="18.75">
      <c r="A678" s="5">
        <f>DATE(2022, 11, 22)</f>
        <v>25569.3125</v>
      </c>
      <c r="B678" s="6">
        <v>88.36</v>
      </c>
    </row>
    <row x14ac:dyDescent="0.25" r="679" customHeight="1" ht="18.75">
      <c r="A679" s="5">
        <f>DATE(2022, 11, 21)</f>
        <v>25569.3125</v>
      </c>
      <c r="B679" s="6">
        <v>87.45</v>
      </c>
    </row>
    <row x14ac:dyDescent="0.25" r="680" customHeight="1" ht="18.75">
      <c r="A680" s="5">
        <f>DATE(2022, 11, 18)</f>
        <v>25569.3125</v>
      </c>
      <c r="B680" s="6">
        <v>87.62</v>
      </c>
    </row>
    <row x14ac:dyDescent="0.25" r="681" customHeight="1" ht="18.75">
      <c r="A681" s="5">
        <f>DATE(2022, 11, 17)</f>
        <v>25569.3125</v>
      </c>
      <c r="B681" s="6">
        <v>89.78</v>
      </c>
    </row>
    <row x14ac:dyDescent="0.25" r="682" customHeight="1" ht="18.75">
      <c r="A682" s="5">
        <f>DATE(2022, 11, 16)</f>
        <v>25569.3125</v>
      </c>
      <c r="B682" s="6">
        <v>92.86</v>
      </c>
    </row>
    <row x14ac:dyDescent="0.25" r="683" customHeight="1" ht="18.75">
      <c r="A683" s="5">
        <f>DATE(2022, 11, 15)</f>
        <v>25569.3125</v>
      </c>
      <c r="B683" s="6">
        <v>93.86</v>
      </c>
    </row>
    <row x14ac:dyDescent="0.25" r="684" customHeight="1" ht="18.75">
      <c r="A684" s="5">
        <f>DATE(2022, 11, 14)</f>
        <v>25569.3125</v>
      </c>
      <c r="B684" s="6">
        <v>93.14</v>
      </c>
    </row>
    <row x14ac:dyDescent="0.25" r="685" customHeight="1" ht="18.75">
      <c r="A685" s="5">
        <f>DATE(2022, 11, 11)</f>
        <v>25569.3125</v>
      </c>
      <c r="B685" s="6">
        <v>95.99</v>
      </c>
    </row>
    <row x14ac:dyDescent="0.25" r="686" customHeight="1" ht="18.75">
      <c r="A686" s="5">
        <f>DATE(2022, 11, 10)</f>
        <v>25569.3125</v>
      </c>
      <c r="B686" s="6">
        <v>93.67</v>
      </c>
    </row>
    <row x14ac:dyDescent="0.25" r="687" customHeight="1" ht="18.75">
      <c r="A687" s="5">
        <f>DATE(2022, 11, 9)</f>
        <v>25569.3125</v>
      </c>
      <c r="B687" s="6">
        <v>92.65</v>
      </c>
    </row>
    <row x14ac:dyDescent="0.25" r="688" customHeight="1" ht="18.75">
      <c r="A688" s="5">
        <f>DATE(2022, 11, 8)</f>
        <v>25569.3125</v>
      </c>
      <c r="B688" s="6">
        <v>95.36</v>
      </c>
    </row>
    <row x14ac:dyDescent="0.25" r="689" customHeight="1" ht="18.75">
      <c r="A689" s="5">
        <f>DATE(2022, 11, 7)</f>
        <v>25569.3125</v>
      </c>
      <c r="B689" s="6">
        <v>97.92</v>
      </c>
    </row>
    <row x14ac:dyDescent="0.25" r="690" customHeight="1" ht="18.75">
      <c r="A690" s="5">
        <f>DATE(2022, 11, 4)</f>
        <v>25569.3125</v>
      </c>
      <c r="B690" s="6">
        <v>98.57</v>
      </c>
    </row>
    <row x14ac:dyDescent="0.25" r="691" customHeight="1" ht="18.75">
      <c r="A691" s="5">
        <f>DATE(2022, 11, 3)</f>
        <v>25569.3125</v>
      </c>
      <c r="B691" s="6">
        <v>94.67</v>
      </c>
    </row>
    <row x14ac:dyDescent="0.25" r="692" customHeight="1" ht="18.75">
      <c r="A692" s="5">
        <f>DATE(2022, 11, 2)</f>
        <v>25569.3125</v>
      </c>
      <c r="B692" s="6">
        <v>96.16</v>
      </c>
    </row>
    <row x14ac:dyDescent="0.25" r="693" customHeight="1" ht="18.75">
      <c r="A693" s="5">
        <f>DATE(2022, 11, 1)</f>
        <v>25569.3125</v>
      </c>
      <c r="B693" s="6">
        <v>94.65</v>
      </c>
    </row>
    <row x14ac:dyDescent="0.25" r="694" customHeight="1" ht="18.75">
      <c r="A694" s="5">
        <f>DATE(2022, 10, 31)</f>
        <v>25569.3125</v>
      </c>
      <c r="B694" s="6">
        <v>94.83</v>
      </c>
    </row>
    <row x14ac:dyDescent="0.25" r="695" customHeight="1" ht="18.75">
      <c r="A695" s="5">
        <f>DATE(2022, 10, 28)</f>
        <v>25569.3125</v>
      </c>
      <c r="B695" s="6">
        <v>95.77</v>
      </c>
    </row>
    <row x14ac:dyDescent="0.25" r="696" customHeight="1" ht="18.75">
      <c r="A696" s="5">
        <f>DATE(2022, 10, 27)</f>
        <v>25569.3125</v>
      </c>
      <c r="B696" s="6">
        <v>96.96</v>
      </c>
    </row>
    <row x14ac:dyDescent="0.25" r="697" customHeight="1" ht="18.75">
      <c r="A697" s="5">
        <f>DATE(2022, 10, 26)</f>
        <v>25569.3125</v>
      </c>
      <c r="B697" s="6">
        <v>95.69</v>
      </c>
    </row>
    <row x14ac:dyDescent="0.25" r="698" customHeight="1" ht="18.75">
      <c r="A698" s="5">
        <f>DATE(2022, 10, 25)</f>
        <v>25569.3125</v>
      </c>
      <c r="B698" s="6">
        <v>93.52</v>
      </c>
    </row>
    <row x14ac:dyDescent="0.25" r="699" customHeight="1" ht="18.75">
      <c r="A699" s="5">
        <f>DATE(2022, 10, 24)</f>
        <v>25569.3125</v>
      </c>
      <c r="B699" s="6">
        <v>93.26</v>
      </c>
    </row>
    <row x14ac:dyDescent="0.25" r="700" customHeight="1" ht="18.75">
      <c r="A700" s="5">
        <f>DATE(2022, 10, 21)</f>
        <v>25569.3125</v>
      </c>
      <c r="B700" s="6">
        <v>93.5</v>
      </c>
    </row>
    <row x14ac:dyDescent="0.25" r="701" customHeight="1" ht="18.75">
      <c r="A701" s="5">
        <f>DATE(2022, 10, 20)</f>
        <v>25569.3125</v>
      </c>
      <c r="B701" s="6">
        <v>92.38</v>
      </c>
    </row>
    <row x14ac:dyDescent="0.25" r="702" customHeight="1" ht="18.75">
      <c r="A702" s="5">
        <f>DATE(2022, 10, 19)</f>
        <v>25569.3125</v>
      </c>
      <c r="B702" s="6">
        <v>92.41</v>
      </c>
    </row>
    <row x14ac:dyDescent="0.25" r="703" customHeight="1" ht="18.75">
      <c r="A703" s="5">
        <f>DATE(2022, 10, 18)</f>
        <v>25569.3125</v>
      </c>
      <c r="B703" s="6">
        <v>90.03</v>
      </c>
    </row>
    <row x14ac:dyDescent="0.25" r="704" customHeight="1" ht="18.75">
      <c r="A704" s="5">
        <f>DATE(2022, 10, 17)</f>
        <v>25569.3125</v>
      </c>
      <c r="B704" s="6">
        <v>91.62</v>
      </c>
    </row>
    <row x14ac:dyDescent="0.25" r="705" customHeight="1" ht="18.75">
      <c r="A705" s="5">
        <f>DATE(2022, 10, 14)</f>
        <v>25569.3125</v>
      </c>
      <c r="B705" s="6">
        <v>91.63</v>
      </c>
    </row>
    <row x14ac:dyDescent="0.25" r="706" customHeight="1" ht="18.75">
      <c r="A706" s="5">
        <f>DATE(2022, 10, 13)</f>
        <v>25569.3125</v>
      </c>
      <c r="B706" s="6">
        <v>94.57</v>
      </c>
    </row>
    <row x14ac:dyDescent="0.25" r="707" customHeight="1" ht="18.75">
      <c r="A707" s="5">
        <f>DATE(2022, 10, 12)</f>
        <v>25569.3125</v>
      </c>
      <c r="B707" s="6">
        <v>92.45</v>
      </c>
    </row>
    <row x14ac:dyDescent="0.25" r="708" customHeight="1" ht="18.75">
      <c r="A708" s="5">
        <f>DATE(2022, 10, 11)</f>
        <v>25569.3125</v>
      </c>
      <c r="B708" s="6">
        <v>94.29</v>
      </c>
    </row>
    <row x14ac:dyDescent="0.25" r="709" customHeight="1" ht="18.75">
      <c r="A709" s="5">
        <f>DATE(2022, 10, 10)</f>
        <v>25569.3125</v>
      </c>
      <c r="B709" s="6">
        <v>96.19</v>
      </c>
    </row>
    <row x14ac:dyDescent="0.25" r="710" customHeight="1" ht="18.75">
      <c r="A710" s="5">
        <f>DATE(2022, 10, 7)</f>
        <v>25569.3125</v>
      </c>
      <c r="B710" s="6">
        <v>97.92</v>
      </c>
    </row>
    <row x14ac:dyDescent="0.25" r="711" customHeight="1" ht="18.75">
      <c r="A711" s="5">
        <f>DATE(2022, 10, 6)</f>
        <v>25569.3125</v>
      </c>
      <c r="B711" s="6">
        <v>94.42</v>
      </c>
    </row>
    <row x14ac:dyDescent="0.25" r="712" customHeight="1" ht="18.75">
      <c r="A712" s="5">
        <f>DATE(2022, 10, 5)</f>
        <v>25569.3125</v>
      </c>
      <c r="B712" s="6">
        <v>93.37</v>
      </c>
    </row>
    <row x14ac:dyDescent="0.25" r="713" customHeight="1" ht="18.75">
      <c r="A713" s="5">
        <f>DATE(2022, 10, 4)</f>
        <v>25569.3125</v>
      </c>
      <c r="B713" s="6">
        <v>91.8</v>
      </c>
    </row>
    <row x14ac:dyDescent="0.25" r="714" customHeight="1" ht="18.75">
      <c r="A714" s="5">
        <f>DATE(2022, 10, 3)</f>
        <v>25569.3125</v>
      </c>
      <c r="B714" s="6">
        <v>88.86</v>
      </c>
    </row>
    <row x14ac:dyDescent="0.25" r="715" customHeight="1" ht="18.75">
      <c r="A715" s="5">
        <f>DATE(2022, 9, 30)</f>
        <v>25569.3125</v>
      </c>
      <c r="B715" s="6">
        <v>87.96</v>
      </c>
    </row>
    <row x14ac:dyDescent="0.25" r="716" customHeight="1" ht="18.75">
      <c r="A716" s="5">
        <f>DATE(2022, 9, 29)</f>
        <v>25569.3125</v>
      </c>
      <c r="B716" s="6">
        <v>88.49</v>
      </c>
    </row>
    <row x14ac:dyDescent="0.25" r="717" customHeight="1" ht="18.75">
      <c r="A717" s="5">
        <f>DATE(2022, 9, 28)</f>
        <v>25569.3125</v>
      </c>
      <c r="B717" s="6">
        <v>89.32</v>
      </c>
    </row>
    <row x14ac:dyDescent="0.25" r="718" customHeight="1" ht="18.75">
      <c r="A718" s="5">
        <f>DATE(2022, 9, 27)</f>
        <v>25569.3125</v>
      </c>
      <c r="B718" s="6">
        <v>86.27</v>
      </c>
    </row>
    <row x14ac:dyDescent="0.25" r="719" customHeight="1" ht="18.75">
      <c r="A719" s="5">
        <f>DATE(2022, 9, 26)</f>
        <v>25569.3125</v>
      </c>
      <c r="B719" s="6">
        <v>84.06</v>
      </c>
    </row>
    <row x14ac:dyDescent="0.25" r="720" customHeight="1" ht="18.75">
      <c r="A720" s="5">
        <f>DATE(2022, 9, 23)</f>
        <v>25569.3125</v>
      </c>
      <c r="B720" s="6">
        <v>86.15</v>
      </c>
    </row>
    <row x14ac:dyDescent="0.25" r="721" customHeight="1" ht="18.75">
      <c r="A721" s="5">
        <f>DATE(2022, 9, 22)</f>
        <v>25569.3125</v>
      </c>
      <c r="B721" s="6">
        <v>90.46</v>
      </c>
    </row>
    <row x14ac:dyDescent="0.25" r="722" customHeight="1" ht="18.75">
      <c r="A722" s="5">
        <f>DATE(2022, 9, 21)</f>
        <v>25569.3125</v>
      </c>
      <c r="B722" s="6">
        <v>89.83</v>
      </c>
    </row>
    <row x14ac:dyDescent="0.25" r="723" customHeight="1" ht="18.75">
      <c r="A723" s="5">
        <f>DATE(2022, 9, 20)</f>
        <v>25569.3125</v>
      </c>
      <c r="B723" s="6">
        <v>90.62</v>
      </c>
    </row>
    <row x14ac:dyDescent="0.25" r="724" customHeight="1" ht="18.75">
      <c r="A724" s="5">
        <f>DATE(2022, 9, 19)</f>
        <v>25569.3125</v>
      </c>
      <c r="B724" s="6">
        <v>92</v>
      </c>
    </row>
    <row x14ac:dyDescent="0.25" r="725" customHeight="1" ht="18.75">
      <c r="A725" s="5">
        <f>DATE(2022, 9, 16)</f>
        <v>25569.3125</v>
      </c>
      <c r="B725" s="6">
        <v>91.35</v>
      </c>
    </row>
    <row x14ac:dyDescent="0.25" r="726" customHeight="1" ht="18.75">
      <c r="A726" s="5">
        <f>DATE(2022, 9, 15)</f>
        <v>25569.3125</v>
      </c>
      <c r="B726" s="6">
        <v>90.84</v>
      </c>
    </row>
    <row x14ac:dyDescent="0.25" r="727" customHeight="1" ht="18.75">
      <c r="A727" s="5">
        <f>DATE(2022, 9, 14)</f>
        <v>25569.3125</v>
      </c>
      <c r="B727" s="6">
        <v>94.1</v>
      </c>
    </row>
    <row x14ac:dyDescent="0.25" r="728" customHeight="1" ht="18.75">
      <c r="A728" s="5">
        <f>DATE(2022, 9, 13)</f>
        <v>25569.3125</v>
      </c>
      <c r="B728" s="6">
        <v>93.17</v>
      </c>
    </row>
    <row x14ac:dyDescent="0.25" r="729" customHeight="1" ht="18.75">
      <c r="A729" s="5">
        <f>DATE(2022, 9, 12)</f>
        <v>25569.3125</v>
      </c>
      <c r="B729" s="6">
        <v>94</v>
      </c>
    </row>
    <row x14ac:dyDescent="0.25" r="730" customHeight="1" ht="18.75">
      <c r="A730" s="5">
        <f>DATE(2022, 9, 9)</f>
        <v>25569.3125</v>
      </c>
      <c r="B730" s="6">
        <v>92.84</v>
      </c>
    </row>
    <row x14ac:dyDescent="0.25" r="731" customHeight="1" ht="18.75">
      <c r="A731" s="5">
        <f>DATE(2022, 9, 8)</f>
        <v>25569.3125</v>
      </c>
      <c r="B731" s="6">
        <v>89.15</v>
      </c>
    </row>
    <row x14ac:dyDescent="0.25" r="732" customHeight="1" ht="18.75">
      <c r="A732" s="5">
        <f>DATE(2022, 9, 7)</f>
        <v>25569.3125</v>
      </c>
      <c r="B732" s="6">
        <v>88</v>
      </c>
    </row>
    <row x14ac:dyDescent="0.25" r="733" customHeight="1" ht="18.75">
      <c r="A733" s="5">
        <f>DATE(2022, 9, 6)</f>
        <v>25569.3125</v>
      </c>
      <c r="B733" s="6">
        <v>92.83</v>
      </c>
    </row>
    <row x14ac:dyDescent="0.25" r="734" customHeight="1" ht="18.75">
      <c r="A734" s="5">
        <f>DATE(2022, 9, 5)</f>
        <v>25569.3125</v>
      </c>
      <c r="B734" s="6">
        <v>95.74</v>
      </c>
    </row>
    <row x14ac:dyDescent="0.25" r="735" customHeight="1" ht="18.75">
      <c r="A735" s="5">
        <f>DATE(2022, 9, 2)</f>
        <v>25569.3125</v>
      </c>
      <c r="B735" s="6">
        <v>93.02</v>
      </c>
    </row>
    <row x14ac:dyDescent="0.25" r="736" customHeight="1" ht="18.75">
      <c r="A736" s="5">
        <f>DATE(2022, 9, 1)</f>
        <v>25569.3125</v>
      </c>
      <c r="B736" s="6">
        <v>92.36</v>
      </c>
    </row>
    <row x14ac:dyDescent="0.25" r="737" customHeight="1" ht="18.75">
      <c r="A737" s="5">
        <f>DATE(2022, 8, 31)</f>
        <v>25569.3125</v>
      </c>
      <c r="B737" s="6">
        <v>96.49</v>
      </c>
    </row>
    <row x14ac:dyDescent="0.25" r="738" customHeight="1" ht="18.75">
      <c r="A738" s="5">
        <f>DATE(2022, 8, 30)</f>
        <v>25569.3125</v>
      </c>
      <c r="B738" s="6">
        <v>99.31</v>
      </c>
    </row>
    <row x14ac:dyDescent="0.25" r="739" customHeight="1" ht="18.75">
      <c r="A739" s="5">
        <f>DATE(2022, 8, 29)</f>
        <v>25569.3125</v>
      </c>
      <c r="B739" s="6">
        <v>105.09</v>
      </c>
    </row>
    <row x14ac:dyDescent="0.25" r="740" customHeight="1" ht="18.75">
      <c r="A740" s="5">
        <f>DATE(2022, 8, 26)</f>
        <v>25569.3125</v>
      </c>
      <c r="B740" s="6">
        <v>100.99</v>
      </c>
    </row>
    <row x14ac:dyDescent="0.25" r="741" customHeight="1" ht="18.75">
      <c r="A741" s="5">
        <f>DATE(2022, 8, 25)</f>
        <v>25569.3125</v>
      </c>
      <c r="B741" s="6">
        <v>99.34</v>
      </c>
    </row>
    <row x14ac:dyDescent="0.25" r="742" customHeight="1" ht="18.75">
      <c r="A742" s="5">
        <f>DATE(2022, 8, 24)</f>
        <v>25569.3125</v>
      </c>
      <c r="B742" s="6">
        <v>101.22</v>
      </c>
    </row>
    <row x14ac:dyDescent="0.25" r="743" customHeight="1" ht="18.75">
      <c r="A743" s="5">
        <f>DATE(2022, 8, 23)</f>
        <v>25569.3125</v>
      </c>
      <c r="B743" s="6">
        <v>100.22</v>
      </c>
    </row>
    <row x14ac:dyDescent="0.25" r="744" customHeight="1" ht="18.75">
      <c r="A744" s="5">
        <f>DATE(2022, 8, 22)</f>
        <v>25569.3125</v>
      </c>
      <c r="B744" s="6">
        <v>96.48</v>
      </c>
    </row>
    <row x14ac:dyDescent="0.25" r="745" customHeight="1" ht="18.75">
      <c r="A745" s="5">
        <f>DATE(2022, 8, 19)</f>
        <v>25569.3125</v>
      </c>
      <c r="B745" s="6">
        <v>96.72</v>
      </c>
    </row>
    <row x14ac:dyDescent="0.25" r="746" customHeight="1" ht="18.75">
      <c r="A746" s="5">
        <f>DATE(2022, 8, 18)</f>
        <v>25569.3125</v>
      </c>
      <c r="B746" s="6">
        <v>96.59</v>
      </c>
    </row>
    <row x14ac:dyDescent="0.25" r="747" customHeight="1" ht="18.75">
      <c r="A747" s="5">
        <f>DATE(2022, 8, 17)</f>
        <v>25569.3125</v>
      </c>
      <c r="B747" s="6">
        <v>93.65</v>
      </c>
    </row>
    <row x14ac:dyDescent="0.25" r="748" customHeight="1" ht="18.75">
      <c r="A748" s="5">
        <f>DATE(2022, 8, 16)</f>
        <v>25569.3125</v>
      </c>
      <c r="B748" s="6">
        <v>92.34</v>
      </c>
    </row>
    <row x14ac:dyDescent="0.25" r="749" customHeight="1" ht="18.75">
      <c r="A749" s="5">
        <f>DATE(2022, 8, 15)</f>
        <v>25569.3125</v>
      </c>
      <c r="B749" s="6">
        <v>95.1</v>
      </c>
    </row>
    <row x14ac:dyDescent="0.25" r="750" customHeight="1" ht="18.75">
      <c r="A750" s="5">
        <f>DATE(2022, 8, 12)</f>
        <v>25569.3125</v>
      </c>
      <c r="B750" s="6">
        <v>98.15</v>
      </c>
    </row>
    <row x14ac:dyDescent="0.25" r="751" customHeight="1" ht="18.75">
      <c r="A751" s="5">
        <f>DATE(2022, 8, 11)</f>
        <v>25569.3125</v>
      </c>
      <c r="B751" s="6">
        <v>99.6</v>
      </c>
    </row>
    <row x14ac:dyDescent="0.25" r="752" customHeight="1" ht="18.75">
      <c r="A752" s="5">
        <f>DATE(2022, 8, 10)</f>
        <v>25569.3125</v>
      </c>
      <c r="B752" s="6">
        <v>97.4</v>
      </c>
    </row>
    <row x14ac:dyDescent="0.25" r="753" customHeight="1" ht="18.75">
      <c r="A753" s="5">
        <f>DATE(2022, 8, 9)</f>
        <v>25569.3125</v>
      </c>
      <c r="B753" s="6">
        <v>96.31</v>
      </c>
    </row>
    <row x14ac:dyDescent="0.25" r="754" customHeight="1" ht="18.75">
      <c r="A754" s="5">
        <f>DATE(2022, 8, 8)</f>
        <v>25569.3125</v>
      </c>
      <c r="B754" s="6">
        <v>96.65</v>
      </c>
    </row>
    <row x14ac:dyDescent="0.25" r="755" customHeight="1" ht="18.75">
      <c r="A755" s="5">
        <f>DATE(2022, 8, 5)</f>
        <v>25569.3125</v>
      </c>
      <c r="B755" s="6">
        <v>94.92</v>
      </c>
    </row>
    <row x14ac:dyDescent="0.25" r="756" customHeight="1" ht="18.75">
      <c r="A756" s="5">
        <f>DATE(2022, 8, 4)</f>
        <v>25569.3125</v>
      </c>
      <c r="B756" s="6">
        <v>94.12</v>
      </c>
    </row>
    <row x14ac:dyDescent="0.25" r="757" customHeight="1" ht="18.75">
      <c r="A757" s="5">
        <f>DATE(2022, 8, 3)</f>
        <v>25569.3125</v>
      </c>
      <c r="B757" s="6">
        <v>96.78</v>
      </c>
    </row>
    <row x14ac:dyDescent="0.25" r="758" customHeight="1" ht="18.75">
      <c r="A758" s="5">
        <f>DATE(2022, 8, 2)</f>
        <v>25569.3125</v>
      </c>
      <c r="B758" s="6">
        <v>100.54</v>
      </c>
    </row>
    <row x14ac:dyDescent="0.25" r="759" customHeight="1" ht="18.75">
      <c r="A759" s="5">
        <f>DATE(2022, 8, 1)</f>
        <v>25569.3125</v>
      </c>
      <c r="B759" s="6">
        <v>100.03</v>
      </c>
    </row>
    <row x14ac:dyDescent="0.25" r="760" customHeight="1" ht="18.75">
      <c r="A760" s="5">
        <f>DATE(2022, 7, 29)</f>
        <v>25569.3125</v>
      </c>
      <c r="B760" s="6">
        <v>110.01</v>
      </c>
    </row>
    <row x14ac:dyDescent="0.25" r="761" customHeight="1" ht="18.75">
      <c r="A761" s="5">
        <f>DATE(2022, 7, 28)</f>
        <v>25569.3125</v>
      </c>
      <c r="B761" s="6">
        <v>107.14</v>
      </c>
    </row>
    <row x14ac:dyDescent="0.25" r="762" customHeight="1" ht="18.75">
      <c r="A762" s="5">
        <f>DATE(2022, 7, 27)</f>
        <v>25569.3125</v>
      </c>
      <c r="B762" s="6">
        <v>106.62</v>
      </c>
    </row>
    <row x14ac:dyDescent="0.25" r="763" customHeight="1" ht="18.75">
      <c r="A763" s="5">
        <f>DATE(2022, 7, 26)</f>
        <v>25569.3125</v>
      </c>
      <c r="B763" s="6">
        <v>104.4</v>
      </c>
    </row>
    <row x14ac:dyDescent="0.25" r="764" customHeight="1" ht="18.75">
      <c r="A764" s="5">
        <f>DATE(2022, 7, 25)</f>
        <v>25569.3125</v>
      </c>
      <c r="B764" s="6">
        <v>105.15</v>
      </c>
    </row>
    <row x14ac:dyDescent="0.25" r="765" customHeight="1" ht="18.75">
      <c r="A765" s="5">
        <f>DATE(2022, 7, 22)</f>
        <v>25569.3125</v>
      </c>
      <c r="B765" s="6">
        <v>103.2</v>
      </c>
    </row>
    <row x14ac:dyDescent="0.25" r="766" customHeight="1" ht="18.75">
      <c r="A766" s="5">
        <f>DATE(2022, 7, 21)</f>
        <v>25569.3125</v>
      </c>
      <c r="B766" s="6">
        <v>103.86</v>
      </c>
    </row>
    <row x14ac:dyDescent="0.25" r="767" customHeight="1" ht="18.75">
      <c r="A767" s="5">
        <f>DATE(2022, 7, 20)</f>
        <v>25569.3125</v>
      </c>
      <c r="B767" s="6">
        <v>106.92</v>
      </c>
    </row>
    <row x14ac:dyDescent="0.25" r="768" customHeight="1" ht="18.75">
      <c r="A768" s="5">
        <f>DATE(2022, 7, 19)</f>
        <v>25569.3125</v>
      </c>
      <c r="B768" s="6">
        <v>107.35</v>
      </c>
    </row>
    <row x14ac:dyDescent="0.25" r="769" customHeight="1" ht="18.75">
      <c r="A769" s="5">
        <f>DATE(2022, 7, 18)</f>
        <v>25569.3125</v>
      </c>
      <c r="B769" s="6">
        <v>106.27</v>
      </c>
    </row>
    <row x14ac:dyDescent="0.25" r="770" customHeight="1" ht="18.75">
      <c r="A770" s="5">
        <f>DATE(2022, 7, 15)</f>
        <v>25569.3125</v>
      </c>
      <c r="B770" s="6">
        <v>101.16</v>
      </c>
    </row>
    <row x14ac:dyDescent="0.25" r="771" customHeight="1" ht="18.75">
      <c r="A771" s="5">
        <f>DATE(2022, 7, 14)</f>
        <v>25569.3125</v>
      </c>
      <c r="B771" s="6">
        <v>99.1</v>
      </c>
    </row>
    <row x14ac:dyDescent="0.25" r="772" customHeight="1" ht="18.75">
      <c r="A772" s="5">
        <f>DATE(2022, 7, 13)</f>
        <v>25569.3125</v>
      </c>
      <c r="B772" s="6">
        <v>99.57</v>
      </c>
    </row>
    <row x14ac:dyDescent="0.25" r="773" customHeight="1" ht="18.75">
      <c r="A773" s="5">
        <f>DATE(2022, 7, 12)</f>
        <v>25569.3125</v>
      </c>
      <c r="B773" s="6">
        <v>99.49</v>
      </c>
    </row>
    <row x14ac:dyDescent="0.25" r="774" customHeight="1" ht="18.75">
      <c r="A774" s="5">
        <f>DATE(2022, 7, 11)</f>
        <v>25569.3125</v>
      </c>
      <c r="B774" s="6">
        <v>107.1</v>
      </c>
    </row>
    <row x14ac:dyDescent="0.25" r="775" customHeight="1" ht="18.75">
      <c r="A775" s="5">
        <f>DATE(2022, 7, 8)</f>
        <v>25569.3125</v>
      </c>
      <c r="B775" s="6">
        <v>107.02</v>
      </c>
    </row>
    <row x14ac:dyDescent="0.25" r="776" customHeight="1" ht="18.75">
      <c r="A776" s="5">
        <f>DATE(2022, 7, 7)</f>
        <v>25569.3125</v>
      </c>
      <c r="B776" s="6">
        <v>104.65</v>
      </c>
    </row>
    <row x14ac:dyDescent="0.25" r="777" customHeight="1" ht="18.75">
      <c r="A777" s="5">
        <f>DATE(2022, 7, 6)</f>
        <v>25569.3125</v>
      </c>
      <c r="B777" s="6">
        <v>100.69</v>
      </c>
    </row>
    <row x14ac:dyDescent="0.25" r="778" customHeight="1" ht="18.75">
      <c r="A778" s="5">
        <f>DATE(2022, 7, 5)</f>
        <v>25569.3125</v>
      </c>
      <c r="B778" s="6">
        <v>102.77</v>
      </c>
    </row>
    <row x14ac:dyDescent="0.25" r="779" customHeight="1" ht="18.75">
      <c r="A779" s="5">
        <f>DATE(2022, 7, 4)</f>
        <v>25569.3125</v>
      </c>
      <c r="B779" s="6">
        <v>113.5</v>
      </c>
    </row>
    <row x14ac:dyDescent="0.25" r="780" customHeight="1" ht="18.75">
      <c r="A780" s="5">
        <f>DATE(2022, 7, 1)</f>
        <v>25569.3125</v>
      </c>
      <c r="B780" s="6">
        <v>111.63</v>
      </c>
    </row>
    <row x14ac:dyDescent="0.25" r="781" customHeight="1" ht="18.75">
      <c r="A781" s="5">
        <f>DATE(2022, 6, 30)</f>
        <v>25569.3125</v>
      </c>
      <c r="B781" s="6">
        <v>114.81</v>
      </c>
    </row>
    <row x14ac:dyDescent="0.25" r="782" customHeight="1" ht="18.75">
      <c r="A782" s="5">
        <f>DATE(2022, 6, 29)</f>
        <v>25569.3125</v>
      </c>
      <c r="B782" s="6">
        <v>116.26</v>
      </c>
    </row>
    <row x14ac:dyDescent="0.25" r="783" customHeight="1" ht="18.75">
      <c r="A783" s="5">
        <f>DATE(2022, 6, 28)</f>
        <v>25569.3125</v>
      </c>
      <c r="B783" s="6">
        <v>117.98</v>
      </c>
    </row>
    <row x14ac:dyDescent="0.25" r="784" customHeight="1" ht="18.75">
      <c r="A784" s="5">
        <f>DATE(2022, 6, 27)</f>
        <v>25569.3125</v>
      </c>
      <c r="B784" s="6">
        <v>115.09</v>
      </c>
    </row>
    <row x14ac:dyDescent="0.25" r="785" customHeight="1" ht="18.75">
      <c r="A785" s="5">
        <f>DATE(2022, 6, 24)</f>
        <v>25569.3125</v>
      </c>
      <c r="B785" s="6">
        <v>113.12</v>
      </c>
    </row>
    <row x14ac:dyDescent="0.25" r="786" customHeight="1" ht="18.75">
      <c r="A786" s="5">
        <f>DATE(2022, 6, 23)</f>
        <v>25569.3125</v>
      </c>
      <c r="B786" s="6">
        <v>110.05</v>
      </c>
    </row>
    <row x14ac:dyDescent="0.25" r="787" customHeight="1" ht="18.75">
      <c r="A787" s="5">
        <f>DATE(2022, 6, 22)</f>
        <v>25569.3125</v>
      </c>
      <c r="B787" s="6">
        <v>111.74</v>
      </c>
    </row>
    <row x14ac:dyDescent="0.25" r="788" customHeight="1" ht="18.75">
      <c r="A788" s="5">
        <f>DATE(2022, 6, 21)</f>
        <v>25569.3125</v>
      </c>
      <c r="B788" s="6">
        <v>114.65</v>
      </c>
    </row>
    <row x14ac:dyDescent="0.25" r="789" customHeight="1" ht="18.75">
      <c r="A789" s="5">
        <f>DATE(2022, 6, 20)</f>
        <v>25569.3125</v>
      </c>
      <c r="B789" s="6">
        <v>114.13</v>
      </c>
    </row>
    <row x14ac:dyDescent="0.25" r="790" customHeight="1" ht="18.75">
      <c r="A790" s="5">
        <f>DATE(2022, 6, 17)</f>
        <v>25569.3125</v>
      </c>
      <c r="B790" s="6">
        <v>113.12</v>
      </c>
    </row>
    <row x14ac:dyDescent="0.25" r="791" customHeight="1" ht="18.75">
      <c r="A791" s="5">
        <f>DATE(2022, 6, 16)</f>
        <v>25569.3125</v>
      </c>
      <c r="B791" s="6">
        <v>119.81</v>
      </c>
    </row>
    <row x14ac:dyDescent="0.25" r="792" customHeight="1" ht="18.75">
      <c r="A792" s="5">
        <f>DATE(2022, 6, 15)</f>
        <v>25569.3125</v>
      </c>
      <c r="B792" s="6">
        <v>118.51</v>
      </c>
    </row>
    <row x14ac:dyDescent="0.25" r="793" customHeight="1" ht="18.75">
      <c r="A793" s="5">
        <f>DATE(2022, 6, 14)</f>
        <v>25569.3125</v>
      </c>
      <c r="B793" s="6">
        <v>121.17</v>
      </c>
    </row>
    <row x14ac:dyDescent="0.25" r="794" customHeight="1" ht="18.75">
      <c r="A794" s="5">
        <f>DATE(2022, 6, 13)</f>
        <v>25569.3125</v>
      </c>
      <c r="B794" s="6">
        <v>122.27</v>
      </c>
    </row>
    <row x14ac:dyDescent="0.25" r="795" customHeight="1" ht="18.75">
      <c r="A795" s="5">
        <f>DATE(2022, 6, 10)</f>
        <v>25569.3125</v>
      </c>
      <c r="B795" s="6">
        <v>122.01</v>
      </c>
    </row>
    <row x14ac:dyDescent="0.25" r="796" customHeight="1" ht="18.75">
      <c r="A796" s="5">
        <f>DATE(2022, 6, 9)</f>
        <v>25569.3125</v>
      </c>
      <c r="B796" s="6">
        <v>123.07</v>
      </c>
    </row>
    <row x14ac:dyDescent="0.25" r="797" customHeight="1" ht="18.75">
      <c r="A797" s="5">
        <f>DATE(2022, 6, 8)</f>
        <v>25569.3125</v>
      </c>
      <c r="B797" s="6">
        <v>123.58</v>
      </c>
    </row>
    <row x14ac:dyDescent="0.25" r="798" customHeight="1" ht="18.75">
      <c r="A798" s="5">
        <f>DATE(2022, 6, 7)</f>
        <v>25569.3125</v>
      </c>
      <c r="B798" s="6">
        <v>120.57</v>
      </c>
    </row>
    <row x14ac:dyDescent="0.25" r="799" customHeight="1" ht="18.75">
      <c r="A799" s="5">
        <f>DATE(2022, 6, 6)</f>
        <v>25569.3125</v>
      </c>
      <c r="B799" s="6">
        <v>119.51</v>
      </c>
    </row>
    <row x14ac:dyDescent="0.25" r="800" customHeight="1" ht="18.75">
      <c r="A800" s="5">
        <f>DATE(2022, 6, 3)</f>
        <v>25569.3125</v>
      </c>
      <c r="B800" s="6">
        <v>119.72</v>
      </c>
    </row>
    <row x14ac:dyDescent="0.25" r="801" customHeight="1" ht="18.75">
      <c r="A801" s="5">
        <f>DATE(2022, 6, 2)</f>
        <v>25569.3125</v>
      </c>
      <c r="B801" s="6">
        <v>117.61</v>
      </c>
    </row>
    <row x14ac:dyDescent="0.25" r="802" customHeight="1" ht="18.75">
      <c r="A802" s="5">
        <f>DATE(2022, 6, 1)</f>
        <v>25569.3125</v>
      </c>
      <c r="B802" s="6">
        <v>116.29</v>
      </c>
    </row>
    <row x14ac:dyDescent="0.25" r="803" customHeight="1" ht="18.75">
      <c r="A803" s="5">
        <f>DATE(2022, 5, 31)</f>
        <v>25569.3125</v>
      </c>
      <c r="B803" s="6">
        <v>122.84</v>
      </c>
    </row>
    <row x14ac:dyDescent="0.25" r="804" customHeight="1" ht="18.75">
      <c r="A804" s="5">
        <f>DATE(2022, 5, 30)</f>
        <v>25569.3125</v>
      </c>
      <c r="B804" s="6">
        <v>121.67</v>
      </c>
    </row>
    <row x14ac:dyDescent="0.25" r="805" customHeight="1" ht="18.75">
      <c r="A805" s="5">
        <f>DATE(2022, 5, 27)</f>
        <v>25569.3125</v>
      </c>
      <c r="B805" s="6">
        <v>119.43</v>
      </c>
    </row>
    <row x14ac:dyDescent="0.25" r="806" customHeight="1" ht="18.75">
      <c r="A806" s="5">
        <f>DATE(2022, 5, 26)</f>
        <v>25569.3125</v>
      </c>
      <c r="B806" s="6">
        <v>117.4</v>
      </c>
    </row>
    <row x14ac:dyDescent="0.25" r="807" customHeight="1" ht="18.75">
      <c r="A807" s="5">
        <f>DATE(2022, 5, 25)</f>
        <v>25569.3125</v>
      </c>
      <c r="B807" s="6">
        <v>114.03</v>
      </c>
    </row>
    <row x14ac:dyDescent="0.25" r="808" customHeight="1" ht="18.75">
      <c r="A808" s="5">
        <f>DATE(2022, 5, 24)</f>
        <v>25569.3125</v>
      </c>
      <c r="B808" s="6">
        <v>113.56</v>
      </c>
    </row>
    <row x14ac:dyDescent="0.25" r="809" customHeight="1" ht="18.75">
      <c r="A809" s="5">
        <f>DATE(2022, 5, 23)</f>
        <v>25569.3125</v>
      </c>
      <c r="B809" s="6">
        <v>113.42</v>
      </c>
    </row>
    <row x14ac:dyDescent="0.25" r="810" customHeight="1" ht="18.75">
      <c r="A810" s="5">
        <f>DATE(2022, 5, 20)</f>
        <v>25569.3125</v>
      </c>
      <c r="B810" s="6">
        <v>112.55</v>
      </c>
    </row>
    <row x14ac:dyDescent="0.25" r="811" customHeight="1" ht="18.75">
      <c r="A811" s="5">
        <f>DATE(2022, 5, 19)</f>
        <v>25569.3125</v>
      </c>
      <c r="B811" s="6">
        <v>112.04</v>
      </c>
    </row>
    <row x14ac:dyDescent="0.25" r="812" customHeight="1" ht="18.75">
      <c r="A812" s="5">
        <f>DATE(2022, 5, 18)</f>
        <v>25569.3125</v>
      </c>
      <c r="B812" s="6">
        <v>109.11</v>
      </c>
    </row>
    <row x14ac:dyDescent="0.25" r="813" customHeight="1" ht="18.75">
      <c r="A813" s="5">
        <f>DATE(2022, 5, 17)</f>
        <v>25569.3125</v>
      </c>
      <c r="B813" s="6">
        <v>111.93</v>
      </c>
    </row>
    <row x14ac:dyDescent="0.25" r="814" customHeight="1" ht="18.75">
      <c r="A814" s="5">
        <f>DATE(2022, 5, 16)</f>
        <v>25569.3125</v>
      </c>
      <c r="B814" s="6">
        <v>114.24</v>
      </c>
    </row>
    <row x14ac:dyDescent="0.25" r="815" customHeight="1" ht="18.75">
      <c r="A815" s="5">
        <f>DATE(2022, 5, 13)</f>
        <v>25569.3125</v>
      </c>
      <c r="B815" s="6">
        <v>111.55</v>
      </c>
    </row>
    <row x14ac:dyDescent="0.25" r="816" customHeight="1" ht="18.75">
      <c r="A816" s="5">
        <f>DATE(2022, 5, 12)</f>
        <v>25569.3125</v>
      </c>
      <c r="B816" s="6">
        <v>107.45</v>
      </c>
    </row>
    <row x14ac:dyDescent="0.25" r="817" customHeight="1" ht="18.75">
      <c r="A817" s="5">
        <f>DATE(2022, 5, 11)</f>
        <v>25569.3125</v>
      </c>
      <c r="B817" s="6">
        <v>107.51</v>
      </c>
    </row>
    <row x14ac:dyDescent="0.25" r="818" customHeight="1" ht="18.75">
      <c r="A818" s="5">
        <f>DATE(2022, 5, 10)</f>
        <v>25569.3125</v>
      </c>
      <c r="B818" s="6">
        <v>102.46</v>
      </c>
    </row>
    <row x14ac:dyDescent="0.25" r="819" customHeight="1" ht="18.75">
      <c r="A819" s="5">
        <f>DATE(2022, 5, 9)</f>
        <v>25569.3125</v>
      </c>
      <c r="B819" s="6">
        <v>105.94</v>
      </c>
    </row>
    <row x14ac:dyDescent="0.25" r="820" customHeight="1" ht="18.75">
      <c r="A820" s="5">
        <f>DATE(2022, 5, 6)</f>
        <v>25569.3125</v>
      </c>
      <c r="B820" s="6">
        <v>112.39</v>
      </c>
    </row>
    <row x14ac:dyDescent="0.25" r="821" customHeight="1" ht="18.75">
      <c r="A821" s="5">
        <f>DATE(2022, 5, 5)</f>
        <v>25569.3125</v>
      </c>
      <c r="B821" s="6">
        <v>110.9</v>
      </c>
    </row>
    <row x14ac:dyDescent="0.25" r="822" customHeight="1" ht="18.75">
      <c r="A822" s="5">
        <f>DATE(2022, 5, 4)</f>
        <v>25569.3125</v>
      </c>
      <c r="B822" s="6">
        <v>110.14</v>
      </c>
    </row>
    <row x14ac:dyDescent="0.25" r="823" customHeight="1" ht="18.75">
      <c r="A823" s="5">
        <f>DATE(2022, 5, 3)</f>
        <v>25569.3125</v>
      </c>
      <c r="B823" s="6">
        <v>104.97</v>
      </c>
    </row>
    <row x14ac:dyDescent="0.25" r="824" customHeight="1" ht="18.75">
      <c r="A824" s="5">
        <f>DATE(2022, 5, 2)</f>
        <v>25569.3125</v>
      </c>
      <c r="B824" s="6">
        <v>107.58</v>
      </c>
    </row>
    <row x14ac:dyDescent="0.25" r="825" customHeight="1" ht="18.75">
      <c r="A825" s="5">
        <f>DATE(2022, 4, 29)</f>
        <v>25569.3125</v>
      </c>
      <c r="B825" s="6">
        <v>109.34</v>
      </c>
    </row>
    <row x14ac:dyDescent="0.25" r="826" customHeight="1" ht="18.75">
      <c r="A826" s="5">
        <f>DATE(2022, 4, 28)</f>
        <v>25569.3125</v>
      </c>
      <c r="B826" s="6">
        <v>107.59</v>
      </c>
    </row>
    <row x14ac:dyDescent="0.25" r="827" customHeight="1" ht="18.75">
      <c r="A827" s="5">
        <f>DATE(2022, 4, 27)</f>
        <v>25569.3125</v>
      </c>
      <c r="B827" s="6">
        <v>105.32</v>
      </c>
    </row>
    <row x14ac:dyDescent="0.25" r="828" customHeight="1" ht="18.75">
      <c r="A828" s="5">
        <f>DATE(2022, 4, 26)</f>
        <v>25569.3125</v>
      </c>
      <c r="B828" s="6">
        <v>104.99</v>
      </c>
    </row>
    <row x14ac:dyDescent="0.25" r="829" customHeight="1" ht="18.75">
      <c r="A829" s="5">
        <f>DATE(2022, 4, 25)</f>
        <v>25569.3125</v>
      </c>
      <c r="B829" s="6">
        <v>102.32</v>
      </c>
    </row>
    <row x14ac:dyDescent="0.25" r="830" customHeight="1" ht="18.75">
      <c r="A830" s="5">
        <f>DATE(2022, 4, 22)</f>
        <v>25569.3125</v>
      </c>
      <c r="B830" s="6">
        <v>106.65</v>
      </c>
    </row>
    <row x14ac:dyDescent="0.25" r="831" customHeight="1" ht="18.75">
      <c r="A831" s="5">
        <f>DATE(2022, 4, 21)</f>
        <v>25569.3125</v>
      </c>
      <c r="B831" s="6">
        <v>108.33</v>
      </c>
    </row>
    <row x14ac:dyDescent="0.25" r="832" customHeight="1" ht="18.75">
      <c r="A832" s="5">
        <f>DATE(2022, 4, 20)</f>
        <v>25569.3125</v>
      </c>
      <c r="B832" s="6">
        <v>106.8</v>
      </c>
    </row>
    <row x14ac:dyDescent="0.25" r="833" customHeight="1" ht="18.75">
      <c r="A833" s="5">
        <f>DATE(2022, 4, 19)</f>
        <v>25569.3125</v>
      </c>
      <c r="B833" s="6">
        <v>107.25</v>
      </c>
    </row>
    <row x14ac:dyDescent="0.25" r="834" customHeight="1" ht="18.75">
      <c r="A834" s="5">
        <f>DATE(2022, 4, 18)</f>
        <v>25569.3125</v>
      </c>
      <c r="B834" s="6">
        <v>113.16</v>
      </c>
    </row>
    <row x14ac:dyDescent="0.25" r="835" customHeight="1" ht="18.75">
      <c r="A835" s="5">
        <f>DATE(2022, 4, 15)</f>
        <v>25569.3125</v>
      </c>
      <c r="B835" s="6">
        <v>111.7</v>
      </c>
    </row>
    <row x14ac:dyDescent="0.25" r="836" customHeight="1" ht="18.75">
      <c r="A836" s="5">
        <f>DATE(2022, 4, 14)</f>
        <v>25569.3125</v>
      </c>
      <c r="B836" s="6">
        <v>111.7</v>
      </c>
    </row>
    <row x14ac:dyDescent="0.25" r="837" customHeight="1" ht="18.75">
      <c r="A837" s="5">
        <f>DATE(2022, 4, 13)</f>
        <v>25569.3125</v>
      </c>
      <c r="B837" s="6">
        <v>108.78</v>
      </c>
    </row>
    <row x14ac:dyDescent="0.25" r="838" customHeight="1" ht="18.75">
      <c r="A838" s="5">
        <f>DATE(2022, 4, 12)</f>
        <v>25569.3125</v>
      </c>
      <c r="B838" s="6">
        <v>104.64</v>
      </c>
    </row>
    <row x14ac:dyDescent="0.25" r="839" customHeight="1" ht="18.75">
      <c r="A839" s="5">
        <f>DATE(2022, 4, 11)</f>
        <v>25569.3125</v>
      </c>
      <c r="B839" s="6">
        <v>98.48</v>
      </c>
    </row>
    <row x14ac:dyDescent="0.25" r="840" customHeight="1" ht="18.75">
      <c r="A840" s="5">
        <f>DATE(2022, 4, 8)</f>
        <v>25569.3125</v>
      </c>
      <c r="B840" s="6">
        <v>102.78</v>
      </c>
    </row>
    <row x14ac:dyDescent="0.25" r="841" customHeight="1" ht="18.75">
      <c r="A841" s="5">
        <f>DATE(2022, 4, 7)</f>
        <v>25569.3125</v>
      </c>
      <c r="B841" s="6">
        <v>100.58</v>
      </c>
    </row>
    <row x14ac:dyDescent="0.25" r="842" customHeight="1" ht="18.75">
      <c r="A842" s="5">
        <f>DATE(2022, 4, 6)</f>
        <v>25569.3125</v>
      </c>
      <c r="B842" s="6">
        <v>101.07</v>
      </c>
    </row>
    <row x14ac:dyDescent="0.25" r="843" customHeight="1" ht="18.75">
      <c r="A843" s="5">
        <f>DATE(2022, 4, 5)</f>
        <v>25569.3125</v>
      </c>
      <c r="B843" s="6">
        <v>106.64</v>
      </c>
    </row>
    <row x14ac:dyDescent="0.25" r="844" customHeight="1" ht="18.75">
      <c r="A844" s="5">
        <f>DATE(2022, 4, 4)</f>
        <v>25569.3125</v>
      </c>
      <c r="B844" s="6">
        <v>107.53</v>
      </c>
    </row>
    <row x14ac:dyDescent="0.25" r="845" customHeight="1" ht="18.75">
      <c r="A845" s="5">
        <f>DATE(2022, 4, 1)</f>
        <v>25569.3125</v>
      </c>
      <c r="B845" s="6">
        <v>104.39</v>
      </c>
    </row>
    <row x14ac:dyDescent="0.25" r="846" customHeight="1" ht="18.75">
      <c r="A846" s="5">
        <f>DATE(2022, 3, 31)</f>
        <v>25569.3125</v>
      </c>
      <c r="B846" s="6">
        <v>107.91</v>
      </c>
    </row>
    <row x14ac:dyDescent="0.25" r="847" customHeight="1" ht="18.75">
      <c r="A847" s="5">
        <f>DATE(2022, 3, 30)</f>
        <v>25569.3125</v>
      </c>
      <c r="B847" s="6">
        <v>113.45</v>
      </c>
    </row>
    <row x14ac:dyDescent="0.25" r="848" customHeight="1" ht="18.75">
      <c r="A848" s="5">
        <f>DATE(2022, 3, 29)</f>
        <v>25569.3125</v>
      </c>
      <c r="B848" s="6">
        <v>110.23</v>
      </c>
    </row>
    <row x14ac:dyDescent="0.25" r="849" customHeight="1" ht="18.75">
      <c r="A849" s="5">
        <f>DATE(2022, 3, 28)</f>
        <v>25569.3125</v>
      </c>
      <c r="B849" s="6">
        <v>112.48</v>
      </c>
    </row>
    <row x14ac:dyDescent="0.25" r="850" customHeight="1" ht="18.75">
      <c r="A850" s="5">
        <f>DATE(2022, 3, 25)</f>
        <v>25569.3125</v>
      </c>
      <c r="B850" s="6">
        <v>120.65</v>
      </c>
    </row>
    <row x14ac:dyDescent="0.25" r="851" customHeight="1" ht="18.75">
      <c r="A851" s="5">
        <f>DATE(2022, 3, 24)</f>
        <v>25569.3125</v>
      </c>
      <c r="B851" s="6">
        <v>119.03</v>
      </c>
    </row>
    <row x14ac:dyDescent="0.25" r="852" customHeight="1" ht="18.75">
      <c r="A852" s="5">
        <f>DATE(2022, 3, 23)</f>
        <v>25569.3125</v>
      </c>
      <c r="B852" s="6">
        <v>121.6</v>
      </c>
    </row>
    <row x14ac:dyDescent="0.25" r="853" customHeight="1" ht="18.75">
      <c r="A853" s="5">
        <f>DATE(2022, 3, 22)</f>
        <v>25569.3125</v>
      </c>
      <c r="B853" s="6">
        <v>115.48</v>
      </c>
    </row>
    <row x14ac:dyDescent="0.25" r="854" customHeight="1" ht="18.75">
      <c r="A854" s="5">
        <f>DATE(2022, 3, 21)</f>
        <v>25569.3125</v>
      </c>
      <c r="B854" s="6">
        <v>115.62</v>
      </c>
    </row>
    <row x14ac:dyDescent="0.25" r="855" customHeight="1" ht="18.75">
      <c r="A855" s="5">
        <f>DATE(2022, 3, 18)</f>
        <v>25569.3125</v>
      </c>
      <c r="B855" s="6">
        <v>107.93</v>
      </c>
    </row>
    <row x14ac:dyDescent="0.25" r="856" customHeight="1" ht="18.75">
      <c r="A856" s="5">
        <f>DATE(2022, 3, 17)</f>
        <v>25569.3125</v>
      </c>
      <c r="B856" s="6">
        <v>106.64</v>
      </c>
    </row>
    <row x14ac:dyDescent="0.25" r="857" customHeight="1" ht="18.75">
      <c r="A857" s="5">
        <f>DATE(2022, 3, 16)</f>
        <v>25569.3125</v>
      </c>
      <c r="B857" s="6">
        <v>98.02</v>
      </c>
    </row>
    <row x14ac:dyDescent="0.25" r="858" customHeight="1" ht="18.75">
      <c r="A858" s="5">
        <f>DATE(2022, 3, 15)</f>
        <v>25569.3125</v>
      </c>
      <c r="B858" s="6">
        <v>99.91</v>
      </c>
    </row>
    <row x14ac:dyDescent="0.25" r="859" customHeight="1" ht="18.75">
      <c r="A859" s="5">
        <f>DATE(2022, 3, 14)</f>
        <v>25569.3125</v>
      </c>
      <c r="B859" s="6">
        <v>106.9</v>
      </c>
    </row>
    <row x14ac:dyDescent="0.25" r="860" customHeight="1" ht="18.75">
      <c r="A860" s="5">
        <f>DATE(2022, 3, 11)</f>
        <v>25569.3125</v>
      </c>
      <c r="B860" s="6">
        <v>112.67</v>
      </c>
    </row>
    <row x14ac:dyDescent="0.25" r="861" customHeight="1" ht="18.75">
      <c r="A861" s="5">
        <f>DATE(2022, 3, 10)</f>
        <v>25569.3125</v>
      </c>
      <c r="B861" s="6">
        <v>109.33</v>
      </c>
    </row>
    <row x14ac:dyDescent="0.25" r="862" customHeight="1" ht="18.75">
      <c r="A862" s="5">
        <f>DATE(2022, 3, 9)</f>
        <v>25569.3125</v>
      </c>
      <c r="B862" s="6">
        <v>111.14</v>
      </c>
    </row>
    <row x14ac:dyDescent="0.25" r="863" customHeight="1" ht="18.75">
      <c r="A863" s="5">
        <f>DATE(2022, 3, 8)</f>
        <v>25569.3125</v>
      </c>
      <c r="B863" s="6">
        <v>127.98</v>
      </c>
    </row>
    <row x14ac:dyDescent="0.25" r="864" customHeight="1" ht="18.75">
      <c r="A864" s="5">
        <f>DATE(2022, 3, 7)</f>
        <v>25569.3125</v>
      </c>
      <c r="B864" s="6">
        <v>123.21</v>
      </c>
    </row>
    <row x14ac:dyDescent="0.25" r="865" customHeight="1" ht="18.75">
      <c r="A865" s="5">
        <f>DATE(2022, 3, 4)</f>
        <v>25569.3125</v>
      </c>
      <c r="B865" s="6">
        <v>118.11</v>
      </c>
    </row>
    <row x14ac:dyDescent="0.25" r="866" customHeight="1" ht="18.75">
      <c r="A866" s="5">
        <f>DATE(2022, 3, 3)</f>
        <v>25569.3125</v>
      </c>
      <c r="B866" s="6">
        <v>110.46</v>
      </c>
    </row>
    <row x14ac:dyDescent="0.25" r="867" customHeight="1" ht="18.75">
      <c r="A867" s="5">
        <f>DATE(2022, 3, 2)</f>
        <v>25569.3125</v>
      </c>
      <c r="B867" s="6">
        <v>112.93</v>
      </c>
    </row>
    <row x14ac:dyDescent="0.25" r="868" customHeight="1" ht="18.75">
      <c r="A868" s="5">
        <f>DATE(2022, 3, 1)</f>
        <v>25569.3125</v>
      </c>
      <c r="B868" s="6">
        <v>104.97</v>
      </c>
    </row>
    <row x14ac:dyDescent="0.25" r="869" customHeight="1" ht="18.75">
      <c r="A869" s="5">
        <f>DATE(2022, 2, 28)</f>
        <v>25569.3125</v>
      </c>
      <c r="B869" s="6">
        <v>100.99</v>
      </c>
    </row>
    <row x14ac:dyDescent="0.25" r="870" customHeight="1" ht="18.75">
      <c r="A870" s="5">
        <f>DATE(2022, 2, 25)</f>
        <v>25569.3125</v>
      </c>
      <c r="B870" s="6">
        <v>97.93</v>
      </c>
    </row>
    <row x14ac:dyDescent="0.25" r="871" customHeight="1" ht="18.75">
      <c r="A871" s="5">
        <f>DATE(2022, 2, 24)</f>
        <v>25569.3125</v>
      </c>
      <c r="B871" s="6">
        <v>99.08</v>
      </c>
    </row>
    <row x14ac:dyDescent="0.25" r="872" customHeight="1" ht="18.75">
      <c r="A872" s="5">
        <f>DATE(2022, 2, 23)</f>
        <v>25569.3125</v>
      </c>
      <c r="B872" s="6">
        <v>96.84</v>
      </c>
    </row>
    <row x14ac:dyDescent="0.25" r="873" customHeight="1" ht="18.75">
      <c r="A873" s="5">
        <f>DATE(2022, 2, 22)</f>
        <v>25569.3125</v>
      </c>
      <c r="B873" s="6">
        <v>96.84</v>
      </c>
    </row>
    <row x14ac:dyDescent="0.25" r="874" customHeight="1" ht="18.75">
      <c r="A874" s="5">
        <f>DATE(2022, 2, 21)</f>
        <v>25569.3125</v>
      </c>
      <c r="B874" s="6">
        <v>95.39</v>
      </c>
    </row>
    <row x14ac:dyDescent="0.25" r="875" customHeight="1" ht="18.75">
      <c r="A875" s="5">
        <f>DATE(2022, 2, 18)</f>
        <v>25569.3125</v>
      </c>
      <c r="B875" s="6">
        <v>93.54</v>
      </c>
    </row>
    <row x14ac:dyDescent="0.25" r="876" customHeight="1" ht="18.75">
      <c r="A876" s="5">
        <f>DATE(2022, 2, 17)</f>
        <v>25569.3125</v>
      </c>
      <c r="B876" s="6">
        <v>92.97</v>
      </c>
    </row>
    <row x14ac:dyDescent="0.25" r="877" customHeight="1" ht="18.75">
      <c r="A877" s="5">
        <f>DATE(2022, 2, 16)</f>
        <v>25569.3125</v>
      </c>
      <c r="B877" s="6">
        <v>94.81</v>
      </c>
    </row>
    <row x14ac:dyDescent="0.25" r="878" customHeight="1" ht="18.75">
      <c r="A878" s="5">
        <f>DATE(2022, 2, 15)</f>
        <v>25569.3125</v>
      </c>
      <c r="B878" s="6">
        <v>93.28</v>
      </c>
    </row>
    <row x14ac:dyDescent="0.25" r="879" customHeight="1" ht="18.75">
      <c r="A879" s="5">
        <f>DATE(2022, 2, 14)</f>
        <v>25569.3125</v>
      </c>
      <c r="B879" s="6">
        <v>96.48</v>
      </c>
    </row>
    <row x14ac:dyDescent="0.25" r="880" customHeight="1" ht="18.75">
      <c r="A880" s="5">
        <f>DATE(2022, 2, 11)</f>
        <v>25569.3125</v>
      </c>
      <c r="B880" s="6">
        <v>94.44</v>
      </c>
    </row>
    <row x14ac:dyDescent="0.25" r="881" customHeight="1" ht="18.75">
      <c r="A881" s="5">
        <f>DATE(2022, 2, 10)</f>
        <v>25569.3125</v>
      </c>
      <c r="B881" s="6">
        <v>91.41</v>
      </c>
    </row>
    <row x14ac:dyDescent="0.25" r="882" customHeight="1" ht="18.75">
      <c r="A882" s="5">
        <f>DATE(2022, 2, 9)</f>
        <v>25569.3125</v>
      </c>
      <c r="B882" s="6">
        <v>91.55</v>
      </c>
    </row>
    <row x14ac:dyDescent="0.25" r="883" customHeight="1" ht="18.75">
      <c r="A883" s="5">
        <f>DATE(2022, 2, 8)</f>
        <v>25569.3125</v>
      </c>
      <c r="B883" s="6">
        <v>90.78</v>
      </c>
    </row>
    <row x14ac:dyDescent="0.25" r="884" customHeight="1" ht="18.75">
      <c r="A884" s="5">
        <f>DATE(2022, 2, 7)</f>
        <v>25569.3125</v>
      </c>
      <c r="B884" s="6">
        <v>92.69</v>
      </c>
    </row>
    <row x14ac:dyDescent="0.25" r="885" customHeight="1" ht="18.75">
      <c r="A885" s="5">
        <f>DATE(2022, 2, 4)</f>
        <v>25569.3125</v>
      </c>
      <c r="B885" s="6">
        <v>93.27</v>
      </c>
    </row>
    <row x14ac:dyDescent="0.25" r="886" customHeight="1" ht="18.75">
      <c r="A886" s="5">
        <f>DATE(2022, 2, 3)</f>
        <v>25569.3125</v>
      </c>
      <c r="B886" s="6">
        <v>91.11</v>
      </c>
    </row>
    <row x14ac:dyDescent="0.25" r="887" customHeight="1" ht="18.75">
      <c r="A887" s="5">
        <f>DATE(2022, 2, 2)</f>
        <v>25569.3125</v>
      </c>
      <c r="B887" s="6">
        <v>89.47</v>
      </c>
    </row>
    <row x14ac:dyDescent="0.25" r="888" customHeight="1" ht="18.75">
      <c r="A888" s="5">
        <f>DATE(2022, 2, 1)</f>
        <v>25569.3125</v>
      </c>
      <c r="B888" s="6">
        <v>89.16</v>
      </c>
    </row>
    <row x14ac:dyDescent="0.25" r="889" customHeight="1" ht="18.75">
      <c r="A889" s="5">
        <f>DATE(2022, 1, 31)</f>
        <v>25569.3125</v>
      </c>
      <c r="B889" s="6">
        <v>91.21</v>
      </c>
    </row>
    <row x14ac:dyDescent="0.25" r="890" customHeight="1" ht="18.75">
      <c r="A890" s="5">
        <f>DATE(2022, 1, 28)</f>
        <v>25569.3125</v>
      </c>
      <c r="B890" s="6">
        <v>90.03</v>
      </c>
    </row>
    <row x14ac:dyDescent="0.25" r="891" customHeight="1" ht="18.75">
      <c r="A891" s="5">
        <f>DATE(2022, 1, 27)</f>
        <v>25569.3125</v>
      </c>
      <c r="B891" s="6">
        <v>89.34</v>
      </c>
    </row>
    <row x14ac:dyDescent="0.25" r="892" customHeight="1" ht="18.75">
      <c r="A892" s="5">
        <f>DATE(2022, 1, 26)</f>
        <v>25569.3125</v>
      </c>
      <c r="B892" s="6">
        <v>89.96</v>
      </c>
    </row>
    <row x14ac:dyDescent="0.25" r="893" customHeight="1" ht="18.75">
      <c r="A893" s="5">
        <f>DATE(2022, 1, 25)</f>
        <v>25569.3125</v>
      </c>
      <c r="B893" s="6">
        <v>88.2</v>
      </c>
    </row>
    <row x14ac:dyDescent="0.25" r="894" customHeight="1" ht="18.75">
      <c r="A894" s="5">
        <f>DATE(2022, 1, 24)</f>
        <v>25569.3125</v>
      </c>
      <c r="B894" s="6">
        <v>86.27</v>
      </c>
    </row>
    <row x14ac:dyDescent="0.25" r="895" customHeight="1" ht="18.75">
      <c r="A895" s="5">
        <f>DATE(2022, 1, 21)</f>
        <v>25569.3125</v>
      </c>
      <c r="B895" s="6">
        <v>87.89</v>
      </c>
    </row>
    <row x14ac:dyDescent="0.25" r="896" customHeight="1" ht="18.75">
      <c r="A896" s="5">
        <f>DATE(2022, 1, 20)</f>
        <v>25569.3125</v>
      </c>
      <c r="B896" s="6">
        <v>88.38</v>
      </c>
    </row>
    <row x14ac:dyDescent="0.25" r="897" customHeight="1" ht="18.75">
      <c r="A897" s="5">
        <f>DATE(2022, 1, 19)</f>
        <v>25569.3125</v>
      </c>
      <c r="B897" s="6">
        <v>88.44</v>
      </c>
    </row>
    <row x14ac:dyDescent="0.25" r="898" customHeight="1" ht="18.75">
      <c r="A898" s="5">
        <f>DATE(2022, 1, 18)</f>
        <v>25569.3125</v>
      </c>
      <c r="B898" s="6">
        <v>87.51</v>
      </c>
    </row>
    <row x14ac:dyDescent="0.25" r="899" customHeight="1" ht="18.75">
      <c r="A899" s="5">
        <f>DATE(2022, 1, 17)</f>
        <v>25569.3125</v>
      </c>
      <c r="B899" s="6">
        <v>86.48</v>
      </c>
    </row>
    <row x14ac:dyDescent="0.25" r="900" customHeight="1" ht="18.75">
      <c r="A900" s="5">
        <f>DATE(2022, 1, 14)</f>
        <v>25569.3125</v>
      </c>
      <c r="B900" s="6">
        <v>86.06</v>
      </c>
    </row>
    <row x14ac:dyDescent="0.25" r="901" customHeight="1" ht="18.75">
      <c r="A901" s="5">
        <f>DATE(2022, 1, 13)</f>
        <v>25569.3125</v>
      </c>
      <c r="B901" s="6">
        <v>84.47</v>
      </c>
    </row>
    <row x14ac:dyDescent="0.25" r="902" customHeight="1" ht="18.75">
      <c r="A902" s="5">
        <f>DATE(2022, 1, 12)</f>
        <v>25569.3125</v>
      </c>
      <c r="B902" s="6">
        <v>84.67</v>
      </c>
    </row>
    <row x14ac:dyDescent="0.25" r="903" customHeight="1" ht="18.75">
      <c r="A903" s="5">
        <f>DATE(2022, 1, 11)</f>
        <v>25569.3125</v>
      </c>
      <c r="B903" s="6">
        <v>83.72</v>
      </c>
    </row>
    <row x14ac:dyDescent="0.25" r="904" customHeight="1" ht="18.75">
      <c r="A904" s="5">
        <f>DATE(2022, 1, 10)</f>
        <v>25569.3125</v>
      </c>
      <c r="B904" s="6">
        <v>80.87</v>
      </c>
    </row>
    <row x14ac:dyDescent="0.25" r="905" customHeight="1" ht="18.75">
      <c r="A905" s="5">
        <f>DATE(2022, 1, 7)</f>
        <v>25569.3125</v>
      </c>
      <c r="B905" s="6">
        <v>81.75</v>
      </c>
    </row>
    <row x14ac:dyDescent="0.25" r="906" customHeight="1" ht="18.75">
      <c r="A906" s="5">
        <f>DATE(2022, 1, 6)</f>
        <v>25569.3125</v>
      </c>
      <c r="B906" s="6">
        <v>81.99</v>
      </c>
    </row>
    <row x14ac:dyDescent="0.25" r="907" customHeight="1" ht="18.75">
      <c r="A907" s="5">
        <f>DATE(2022, 1, 5)</f>
        <v>25569.3125</v>
      </c>
      <c r="B907" s="6">
        <v>80.8</v>
      </c>
    </row>
    <row x14ac:dyDescent="0.25" r="908" customHeight="1" ht="18.75">
      <c r="A908" s="5">
        <f>DATE(2022, 1, 4)</f>
        <v>25569.3125</v>
      </c>
      <c r="B908" s="6">
        <v>80</v>
      </c>
    </row>
    <row x14ac:dyDescent="0.25" r="909" customHeight="1" ht="18.75">
      <c r="A909" s="5">
        <f>DATE(2022, 1, 3)</f>
        <v>25569.3125</v>
      </c>
      <c r="B909" s="6">
        <v>78.98</v>
      </c>
    </row>
    <row x14ac:dyDescent="0.25" r="910" customHeight="1" ht="18.75">
      <c r="A910" s="5">
        <f>DATE(2021, 12, 31)</f>
        <v>25569.3125</v>
      </c>
      <c r="B910" s="6">
        <v>77.78</v>
      </c>
    </row>
    <row x14ac:dyDescent="0.25" r="911" customHeight="1" ht="18.75">
      <c r="A911" s="5">
        <f>DATE(2021, 12, 30)</f>
        <v>25569.3125</v>
      </c>
      <c r="B911" s="6">
        <v>79.32</v>
      </c>
    </row>
    <row x14ac:dyDescent="0.25" r="912" customHeight="1" ht="18.75">
      <c r="A912" s="5">
        <f>DATE(2021, 12, 29)</f>
        <v>25569.3125</v>
      </c>
      <c r="B912" s="6">
        <v>79.23</v>
      </c>
    </row>
    <row x14ac:dyDescent="0.25" r="913" customHeight="1" ht="18.75">
      <c r="A913" s="5">
        <f>DATE(2021, 12, 28)</f>
        <v>25569.3125</v>
      </c>
      <c r="B913" s="6">
        <v>78.94</v>
      </c>
    </row>
    <row x14ac:dyDescent="0.25" r="914" customHeight="1" ht="18.75">
      <c r="A914" s="5">
        <f>DATE(2021, 12, 27)</f>
        <v>25569.3125</v>
      </c>
      <c r="B914" s="6">
        <v>78.6</v>
      </c>
    </row>
    <row x14ac:dyDescent="0.25" r="915" customHeight="1" ht="18.75">
      <c r="A915" s="5">
        <f>DATE(2021, 12, 24)</f>
        <v>25569.3125</v>
      </c>
      <c r="B915" s="6">
        <v>76.14</v>
      </c>
    </row>
    <row x14ac:dyDescent="0.25" r="916" customHeight="1" ht="18.75">
      <c r="A916" s="5">
        <f>DATE(2021, 12, 23)</f>
        <v>25569.3125</v>
      </c>
      <c r="B916" s="6">
        <v>76.85</v>
      </c>
    </row>
    <row x14ac:dyDescent="0.25" r="917" customHeight="1" ht="18.75">
      <c r="A917" s="5">
        <f>DATE(2021, 12, 22)</f>
        <v>25569.3125</v>
      </c>
      <c r="B917" s="6">
        <v>75.29</v>
      </c>
    </row>
    <row x14ac:dyDescent="0.25" r="918" customHeight="1" ht="18.75">
      <c r="A918" s="5">
        <f>DATE(2021, 12, 21)</f>
        <v>25569.3125</v>
      </c>
      <c r="B918" s="6">
        <v>73.98</v>
      </c>
    </row>
    <row x14ac:dyDescent="0.25" r="919" customHeight="1" ht="18.75">
      <c r="A919" s="5">
        <f>DATE(2021, 12, 20)</f>
        <v>25569.3125</v>
      </c>
      <c r="B919" s="6">
        <v>71.52</v>
      </c>
    </row>
    <row x14ac:dyDescent="0.25" r="920" customHeight="1" ht="18.75">
      <c r="A920" s="5">
        <f>DATE(2021, 12, 17)</f>
        <v>25569.3125</v>
      </c>
      <c r="B920" s="6">
        <v>73.52</v>
      </c>
    </row>
    <row x14ac:dyDescent="0.25" r="921" customHeight="1" ht="18.75">
      <c r="A921" s="5">
        <f>DATE(2021, 12, 16)</f>
        <v>25569.3125</v>
      </c>
      <c r="B921" s="6">
        <v>75.02</v>
      </c>
    </row>
    <row x14ac:dyDescent="0.25" r="922" customHeight="1" ht="18.75">
      <c r="A922" s="5">
        <f>DATE(2021, 12, 15)</f>
        <v>25569.3125</v>
      </c>
      <c r="B922" s="6">
        <v>73.88</v>
      </c>
    </row>
    <row x14ac:dyDescent="0.25" r="923" customHeight="1" ht="18.75">
      <c r="A923" s="5">
        <f>DATE(2021, 12, 14)</f>
        <v>25569.3125</v>
      </c>
      <c r="B923" s="6">
        <v>73.7</v>
      </c>
    </row>
    <row x14ac:dyDescent="0.25" r="924" customHeight="1" ht="18.75">
      <c r="A924" s="5">
        <f>DATE(2021, 12, 13)</f>
        <v>25569.3125</v>
      </c>
      <c r="B924" s="6">
        <v>74.39</v>
      </c>
    </row>
    <row x14ac:dyDescent="0.25" r="925" customHeight="1" ht="18.75">
      <c r="A925" s="5">
        <f>DATE(2021, 12, 10)</f>
        <v>25569.3125</v>
      </c>
      <c r="B925" s="6">
        <v>75.15</v>
      </c>
    </row>
    <row x14ac:dyDescent="0.25" r="926" customHeight="1" ht="18.75">
      <c r="A926" s="5">
        <f>DATE(2021, 12, 9)</f>
        <v>25569.3125</v>
      </c>
      <c r="B926" s="6">
        <v>74.42</v>
      </c>
    </row>
    <row x14ac:dyDescent="0.25" r="927" customHeight="1" ht="18.75">
      <c r="A927" s="5">
        <f>DATE(2021, 12, 8)</f>
        <v>25569.3125</v>
      </c>
      <c r="B927" s="6">
        <v>75.82</v>
      </c>
    </row>
    <row x14ac:dyDescent="0.25" r="928" customHeight="1" ht="18.75">
      <c r="A928" s="5">
        <f>DATE(2021, 12, 7)</f>
        <v>25569.3125</v>
      </c>
      <c r="B928" s="6">
        <v>75.44</v>
      </c>
    </row>
    <row x14ac:dyDescent="0.25" r="929" customHeight="1" ht="18.75">
      <c r="A929" s="5">
        <f>DATE(2021, 12, 6)</f>
        <v>25569.3125</v>
      </c>
      <c r="B929" s="6">
        <v>73.08</v>
      </c>
    </row>
    <row x14ac:dyDescent="0.25" r="930" customHeight="1" ht="18.75">
      <c r="A930" s="5">
        <f>DATE(2021, 12, 3)</f>
        <v>25569.3125</v>
      </c>
      <c r="B930" s="6">
        <v>69.88</v>
      </c>
    </row>
    <row x14ac:dyDescent="0.25" r="931" customHeight="1" ht="18.75">
      <c r="A931" s="5">
        <f>DATE(2021, 12, 2)</f>
        <v>25569.3125</v>
      </c>
      <c r="B931" s="6">
        <v>69.67</v>
      </c>
    </row>
    <row x14ac:dyDescent="0.25" r="932" customHeight="1" ht="18.75">
      <c r="A932" s="5">
        <f>DATE(2021, 12, 1)</f>
        <v>25569.3125</v>
      </c>
      <c r="B932" s="6">
        <v>68.87</v>
      </c>
    </row>
    <row x14ac:dyDescent="0.25" r="933" customHeight="1" ht="18.75">
      <c r="A933" s="5">
        <f>DATE(2021, 11, 30)</f>
        <v>25569.3125</v>
      </c>
      <c r="B933" s="6">
        <v>70.57</v>
      </c>
    </row>
    <row x14ac:dyDescent="0.25" r="934" customHeight="1" ht="18.75">
      <c r="A934" s="5">
        <f>DATE(2021, 11, 29)</f>
        <v>25569.3125</v>
      </c>
      <c r="B934" s="6">
        <v>73.44</v>
      </c>
    </row>
    <row x14ac:dyDescent="0.25" r="935" customHeight="1" ht="18.75">
      <c r="A935" s="5">
        <f>DATE(2021, 11, 26)</f>
        <v>25569.3125</v>
      </c>
      <c r="B935" s="6">
        <v>72.72</v>
      </c>
    </row>
    <row x14ac:dyDescent="0.25" r="936" customHeight="1" ht="18.75">
      <c r="A936" s="5">
        <f>DATE(2021, 11, 25)</f>
        <v>25569.3125</v>
      </c>
      <c r="B936" s="6">
        <v>82.22</v>
      </c>
    </row>
    <row x14ac:dyDescent="0.25" r="937" customHeight="1" ht="18.75">
      <c r="A937" s="5">
        <f>DATE(2021, 11, 24)</f>
        <v>25569.3125</v>
      </c>
      <c r="B937" s="6">
        <v>82.25</v>
      </c>
    </row>
    <row x14ac:dyDescent="0.25" r="938" customHeight="1" ht="18.75">
      <c r="A938" s="5">
        <f>DATE(2021, 11, 23)</f>
        <v>25569.3125</v>
      </c>
      <c r="B938" s="6">
        <v>82.31</v>
      </c>
    </row>
    <row x14ac:dyDescent="0.25" r="939" customHeight="1" ht="18.75">
      <c r="A939" s="5">
        <f>DATE(2021, 11, 22)</f>
        <v>25569.3125</v>
      </c>
      <c r="B939" s="6">
        <v>79.7</v>
      </c>
    </row>
    <row x14ac:dyDescent="0.25" r="940" customHeight="1" ht="18.75">
      <c r="A940" s="5">
        <f>DATE(2021, 11, 19)</f>
        <v>25569.3125</v>
      </c>
      <c r="B940" s="6">
        <v>78.89</v>
      </c>
    </row>
    <row x14ac:dyDescent="0.25" r="941" customHeight="1" ht="18.75">
      <c r="A941" s="5">
        <f>DATE(2021, 11, 18)</f>
        <v>25569.3125</v>
      </c>
      <c r="B941" s="6">
        <v>81.24</v>
      </c>
    </row>
    <row x14ac:dyDescent="0.25" r="942" customHeight="1" ht="18.75">
      <c r="A942" s="5">
        <f>DATE(2021, 11, 17)</f>
        <v>25569.3125</v>
      </c>
      <c r="B942" s="6">
        <v>80.28</v>
      </c>
    </row>
    <row x14ac:dyDescent="0.25" r="943" customHeight="1" ht="18.75">
      <c r="A943" s="5">
        <f>DATE(2021, 11, 16)</f>
        <v>25569.3125</v>
      </c>
      <c r="B943" s="6">
        <v>82.43</v>
      </c>
    </row>
    <row x14ac:dyDescent="0.25" r="944" customHeight="1" ht="18.75">
      <c r="A944" s="5">
        <f>DATE(2021, 11, 15)</f>
        <v>25569.3125</v>
      </c>
      <c r="B944" s="6">
        <v>82.05</v>
      </c>
    </row>
    <row x14ac:dyDescent="0.25" r="945" customHeight="1" ht="18.75">
      <c r="A945" s="5">
        <f>DATE(2021, 11, 12)</f>
        <v>25569.3125</v>
      </c>
      <c r="B945" s="6">
        <v>82.17</v>
      </c>
    </row>
    <row x14ac:dyDescent="0.25" r="946" customHeight="1" ht="18.75">
      <c r="A946" s="5">
        <f>DATE(2021, 11, 11)</f>
        <v>25569.3125</v>
      </c>
      <c r="B946" s="6">
        <v>82.87</v>
      </c>
    </row>
    <row x14ac:dyDescent="0.25" r="947" customHeight="1" ht="18.75">
      <c r="A947" s="5">
        <f>DATE(2021, 11, 10)</f>
        <v>25569.3125</v>
      </c>
      <c r="B947" s="6">
        <v>82.64</v>
      </c>
    </row>
    <row x14ac:dyDescent="0.25" r="948" customHeight="1" ht="18.75">
      <c r="A948" s="5">
        <f>DATE(2021, 11, 9)</f>
        <v>25569.3125</v>
      </c>
      <c r="B948" s="6">
        <v>84.78</v>
      </c>
    </row>
    <row x14ac:dyDescent="0.25" r="949" customHeight="1" ht="18.75">
      <c r="A949" s="5">
        <f>DATE(2021, 11, 8)</f>
        <v>25569.3125</v>
      </c>
      <c r="B949" s="6">
        <v>83.43</v>
      </c>
    </row>
    <row x14ac:dyDescent="0.25" r="950" customHeight="1" ht="18.75">
      <c r="A950" s="5">
        <f>DATE(2021, 11, 5)</f>
        <v>25569.3125</v>
      </c>
      <c r="B950" s="6">
        <v>82.74</v>
      </c>
    </row>
    <row x14ac:dyDescent="0.25" r="951" customHeight="1" ht="18.75">
      <c r="A951" s="5">
        <f>DATE(2021, 11, 4)</f>
        <v>25569.3125</v>
      </c>
      <c r="B951" s="6">
        <v>80.54</v>
      </c>
    </row>
    <row x14ac:dyDescent="0.25" r="952" customHeight="1" ht="18.75">
      <c r="A952" s="5">
        <f>DATE(2021, 11, 3)</f>
        <v>25569.3125</v>
      </c>
      <c r="B952" s="6">
        <v>81.99</v>
      </c>
    </row>
    <row x14ac:dyDescent="0.25" r="953" customHeight="1" ht="18.75">
      <c r="A953" s="5">
        <f>DATE(2021, 11, 2)</f>
        <v>25569.3125</v>
      </c>
      <c r="B953" s="6">
        <v>84.72</v>
      </c>
    </row>
    <row x14ac:dyDescent="0.25" r="954" customHeight="1" ht="18.75">
      <c r="A954" s="5">
        <f>DATE(2021, 11, 1)</f>
        <v>25569.3125</v>
      </c>
      <c r="B954" s="6">
        <v>84.71</v>
      </c>
    </row>
    <row x14ac:dyDescent="0.25" r="955" customHeight="1" ht="18.75">
      <c r="A955" s="5">
        <f>DATE(2021, 10, 29)</f>
        <v>25569.3125</v>
      </c>
      <c r="B955" s="6">
        <v>84.38</v>
      </c>
    </row>
    <row x14ac:dyDescent="0.25" r="956" customHeight="1" ht="18.75">
      <c r="A956" s="5">
        <f>DATE(2021, 10, 28)</f>
        <v>25569.3125</v>
      </c>
      <c r="B956" s="6">
        <v>84.32</v>
      </c>
    </row>
    <row x14ac:dyDescent="0.25" r="957" customHeight="1" ht="18.75">
      <c r="A957" s="5">
        <f>DATE(2021, 10, 27)</f>
        <v>25569.3125</v>
      </c>
      <c r="B957" s="6">
        <v>84.58</v>
      </c>
    </row>
    <row x14ac:dyDescent="0.25" r="958" customHeight="1" ht="18.75">
      <c r="A958" s="5">
        <f>DATE(2021, 10, 26)</f>
        <v>25569.3125</v>
      </c>
      <c r="B958" s="6">
        <v>86.4</v>
      </c>
    </row>
    <row x14ac:dyDescent="0.25" r="959" customHeight="1" ht="18.75">
      <c r="A959" s="5">
        <f>DATE(2021, 10, 25)</f>
        <v>25569.3125</v>
      </c>
      <c r="B959" s="6">
        <v>85.99</v>
      </c>
    </row>
    <row x14ac:dyDescent="0.25" r="960" customHeight="1" ht="18.75">
      <c r="A960" s="5">
        <f>DATE(2021, 10, 22)</f>
        <v>25569.3125</v>
      </c>
      <c r="B960" s="6">
        <v>85.53</v>
      </c>
    </row>
    <row x14ac:dyDescent="0.25" r="961" customHeight="1" ht="18.75">
      <c r="A961" s="5">
        <f>DATE(2021, 10, 21)</f>
        <v>25569.3125</v>
      </c>
      <c r="B961" s="6">
        <v>84.61</v>
      </c>
    </row>
    <row x14ac:dyDescent="0.25" r="962" customHeight="1" ht="18.75">
      <c r="A962" s="5">
        <f>DATE(2021, 10, 20)</f>
        <v>25569.3125</v>
      </c>
      <c r="B962" s="6">
        <v>85.82</v>
      </c>
    </row>
    <row x14ac:dyDescent="0.25" r="963" customHeight="1" ht="18.75">
      <c r="A963" s="5">
        <f>DATE(2021, 10, 19)</f>
        <v>25569.3125</v>
      </c>
      <c r="B963" s="6">
        <v>85.08</v>
      </c>
    </row>
    <row x14ac:dyDescent="0.25" r="964" customHeight="1" ht="18.75">
      <c r="A964" s="5">
        <f>DATE(2021, 10, 18)</f>
        <v>25569.3125</v>
      </c>
      <c r="B964" s="6">
        <v>84.33</v>
      </c>
    </row>
    <row x14ac:dyDescent="0.25" r="965" customHeight="1" ht="18.75">
      <c r="A965" s="5">
        <f>DATE(2021, 10, 15)</f>
        <v>25569.3125</v>
      </c>
      <c r="B965" s="6">
        <v>84.86</v>
      </c>
    </row>
    <row x14ac:dyDescent="0.25" r="966" customHeight="1" ht="18.75">
      <c r="A966" s="5">
        <f>DATE(2021, 10, 14)</f>
        <v>25569.3125</v>
      </c>
      <c r="B966" s="6">
        <v>84</v>
      </c>
    </row>
    <row x14ac:dyDescent="0.25" r="967" customHeight="1" ht="18.75">
      <c r="A967" s="5">
        <f>DATE(2021, 10, 13)</f>
        <v>25569.3125</v>
      </c>
      <c r="B967" s="6">
        <v>83.18</v>
      </c>
    </row>
    <row x14ac:dyDescent="0.25" r="968" customHeight="1" ht="18.75">
      <c r="A968" s="5">
        <f>DATE(2021, 10, 12)</f>
        <v>25569.3125</v>
      </c>
      <c r="B968" s="6">
        <v>83.42</v>
      </c>
    </row>
    <row x14ac:dyDescent="0.25" r="969" customHeight="1" ht="18.75">
      <c r="A969" s="5">
        <f>DATE(2021, 10, 11)</f>
        <v>25569.3125</v>
      </c>
      <c r="B969" s="6">
        <v>83.65</v>
      </c>
    </row>
    <row x14ac:dyDescent="0.25" r="970" customHeight="1" ht="18.75">
      <c r="A970" s="5">
        <f>DATE(2021, 10, 8)</f>
        <v>25569.3125</v>
      </c>
      <c r="B970" s="6">
        <v>82.39</v>
      </c>
    </row>
    <row x14ac:dyDescent="0.25" r="971" customHeight="1" ht="18.75">
      <c r="A971" s="5">
        <f>DATE(2021, 10, 7)</f>
        <v>25569.3125</v>
      </c>
      <c r="B971" s="6">
        <v>81.95</v>
      </c>
    </row>
    <row x14ac:dyDescent="0.25" r="972" customHeight="1" ht="18.75">
      <c r="A972" s="5">
        <f>DATE(2021, 10, 6)</f>
        <v>25569.3125</v>
      </c>
      <c r="B972" s="6">
        <v>81.08</v>
      </c>
    </row>
    <row x14ac:dyDescent="0.25" r="973" customHeight="1" ht="18.75">
      <c r="A973" s="5">
        <f>DATE(2021, 10, 5)</f>
        <v>25569.3125</v>
      </c>
      <c r="B973" s="6">
        <v>82.56</v>
      </c>
    </row>
    <row x14ac:dyDescent="0.25" r="974" customHeight="1" ht="18.75">
      <c r="A974" s="5">
        <f>DATE(2021, 10, 4)</f>
        <v>25569.3125</v>
      </c>
      <c r="B974" s="6">
        <v>81.26</v>
      </c>
    </row>
    <row x14ac:dyDescent="0.25" r="975" customHeight="1" ht="18.75">
      <c r="A975" s="5">
        <f>DATE(2021, 10, 1)</f>
        <v>25569.3125</v>
      </c>
      <c r="B975" s="6">
        <v>79.28</v>
      </c>
    </row>
    <row x14ac:dyDescent="0.25" r="976" customHeight="1" ht="18.75">
      <c r="A976" s="5">
        <f>DATE(2021, 9, 30)</f>
        <v>25569.3125</v>
      </c>
      <c r="B976" s="6">
        <v>78.52</v>
      </c>
    </row>
    <row x14ac:dyDescent="0.25" r="977" customHeight="1" ht="18.75">
      <c r="A977" s="5">
        <f>DATE(2021, 9, 29)</f>
        <v>25569.3125</v>
      </c>
      <c r="B977" s="6">
        <v>78.64</v>
      </c>
    </row>
    <row x14ac:dyDescent="0.25" r="978" customHeight="1" ht="18.75">
      <c r="A978" s="5">
        <f>DATE(2021, 9, 28)</f>
        <v>25569.3125</v>
      </c>
      <c r="B978" s="6">
        <v>79.09</v>
      </c>
    </row>
    <row x14ac:dyDescent="0.25" r="979" customHeight="1" ht="18.75">
      <c r="A979" s="5">
        <f>DATE(2021, 9, 27)</f>
        <v>25569.3125</v>
      </c>
      <c r="B979" s="6">
        <v>79.53</v>
      </c>
    </row>
    <row x14ac:dyDescent="0.25" r="980" customHeight="1" ht="18.75">
      <c r="A980" s="5">
        <f>DATE(2021, 9, 24)</f>
        <v>25569.3125</v>
      </c>
      <c r="B980" s="6">
        <v>78.09</v>
      </c>
    </row>
    <row x14ac:dyDescent="0.25" r="981" customHeight="1" ht="18.75">
      <c r="A981" s="5">
        <f>DATE(2021, 9, 23)</f>
        <v>25569.3125</v>
      </c>
      <c r="B981" s="6">
        <v>77.25</v>
      </c>
    </row>
    <row x14ac:dyDescent="0.25" r="982" customHeight="1" ht="18.75">
      <c r="A982" s="5">
        <f>DATE(2021, 9, 22)</f>
        <v>25569.3125</v>
      </c>
      <c r="B982" s="6">
        <v>76.19</v>
      </c>
    </row>
    <row x14ac:dyDescent="0.25" r="983" customHeight="1" ht="18.75">
      <c r="A983" s="5">
        <f>DATE(2021, 9, 21)</f>
        <v>25569.3125</v>
      </c>
      <c r="B983" s="6">
        <v>74.36</v>
      </c>
    </row>
    <row x14ac:dyDescent="0.25" r="984" customHeight="1" ht="18.75">
      <c r="A984" s="5">
        <f>DATE(2021, 9, 20)</f>
        <v>25569.3125</v>
      </c>
      <c r="B984" s="6">
        <v>73.92</v>
      </c>
    </row>
    <row x14ac:dyDescent="0.25" r="985" customHeight="1" ht="18.75">
      <c r="A985" s="5">
        <f>DATE(2021, 9, 17)</f>
        <v>25569.3125</v>
      </c>
      <c r="B985" s="6">
        <v>75.34</v>
      </c>
    </row>
    <row x14ac:dyDescent="0.25" r="986" customHeight="1" ht="18.75">
      <c r="A986" s="5">
        <f>DATE(2021, 9, 16)</f>
        <v>25569.3125</v>
      </c>
      <c r="B986" s="6">
        <v>75.67</v>
      </c>
    </row>
    <row x14ac:dyDescent="0.25" r="987" customHeight="1" ht="18.75">
      <c r="A987" s="5">
        <f>DATE(2021, 9, 15)</f>
        <v>25569.3125</v>
      </c>
      <c r="B987" s="6">
        <v>75.46</v>
      </c>
    </row>
    <row x14ac:dyDescent="0.25" r="988" customHeight="1" ht="18.75">
      <c r="A988" s="5">
        <f>DATE(2021, 9, 14)</f>
        <v>25569.3125</v>
      </c>
      <c r="B988" s="6">
        <v>73.6</v>
      </c>
    </row>
    <row x14ac:dyDescent="0.25" r="989" customHeight="1" ht="18.75">
      <c r="A989" s="5">
        <f>DATE(2021, 9, 13)</f>
        <v>25569.3125</v>
      </c>
      <c r="B989" s="6">
        <v>73.51</v>
      </c>
    </row>
    <row x14ac:dyDescent="0.25" r="990" customHeight="1" ht="18.75">
      <c r="A990" s="5">
        <f>DATE(2021, 9, 10)</f>
        <v>25569.3125</v>
      </c>
      <c r="B990" s="6">
        <v>72.92</v>
      </c>
    </row>
    <row x14ac:dyDescent="0.25" r="991" customHeight="1" ht="18.75">
      <c r="A991" s="5">
        <f>DATE(2021, 9, 9)</f>
        <v>25569.3125</v>
      </c>
      <c r="B991" s="6">
        <v>71.45</v>
      </c>
    </row>
    <row x14ac:dyDescent="0.25" r="992" customHeight="1" ht="18.75">
      <c r="A992" s="5">
        <f>DATE(2021, 9, 8)</f>
        <v>25569.3125</v>
      </c>
      <c r="B992" s="6">
        <v>72.6</v>
      </c>
    </row>
    <row x14ac:dyDescent="0.25" r="993" customHeight="1" ht="18.75">
      <c r="A993" s="5">
        <f>DATE(2021, 9, 7)</f>
        <v>25569.3125</v>
      </c>
      <c r="B993" s="6">
        <v>71.69</v>
      </c>
    </row>
    <row x14ac:dyDescent="0.25" r="994" customHeight="1" ht="18.75">
      <c r="A994" s="5">
        <f>DATE(2021, 9, 6)</f>
        <v>25569.3125</v>
      </c>
      <c r="B994" s="6">
        <v>72.22</v>
      </c>
    </row>
    <row x14ac:dyDescent="0.25" r="995" customHeight="1" ht="18.75">
      <c r="A995" s="5">
        <f>DATE(2021, 9, 3)</f>
        <v>25569.3125</v>
      </c>
      <c r="B995" s="6">
        <v>72.61</v>
      </c>
    </row>
    <row x14ac:dyDescent="0.25" r="996" customHeight="1" ht="18.75">
      <c r="A996" s="5">
        <f>DATE(2021, 9, 2)</f>
        <v>25569.3125</v>
      </c>
      <c r="B996" s="6">
        <v>73.03</v>
      </c>
    </row>
    <row x14ac:dyDescent="0.25" r="997" customHeight="1" ht="18.75">
      <c r="A997" s="5">
        <f>DATE(2021, 9, 1)</f>
        <v>25569.3125</v>
      </c>
      <c r="B997" s="6">
        <v>71.59</v>
      </c>
    </row>
    <row x14ac:dyDescent="0.25" r="998" customHeight="1" ht="18.75">
      <c r="A998" s="5">
        <f>DATE(2021, 8, 31)</f>
        <v>25569.3125</v>
      </c>
      <c r="B998" s="6">
        <v>72.99</v>
      </c>
    </row>
    <row x14ac:dyDescent="0.25" r="999" customHeight="1" ht="18.75">
      <c r="A999" s="5">
        <f>DATE(2021, 8, 30)</f>
        <v>25569.3125</v>
      </c>
      <c r="B999" s="6">
        <v>73.41</v>
      </c>
    </row>
    <row x14ac:dyDescent="0.25" r="1000" customHeight="1" ht="18.75">
      <c r="A1000" s="5">
        <f>DATE(2021, 8, 27)</f>
        <v>25569.3125</v>
      </c>
      <c r="B1000" s="6">
        <v>72.7</v>
      </c>
    </row>
    <row x14ac:dyDescent="0.25" r="1001" customHeight="1" ht="18.75">
      <c r="A1001" s="5">
        <f>DATE(2021, 8, 26)</f>
        <v>25569.3125</v>
      </c>
      <c r="B1001" s="6">
        <v>71.07</v>
      </c>
    </row>
    <row x14ac:dyDescent="0.25" r="1002" customHeight="1" ht="18.75">
      <c r="A1002" s="5">
        <f>DATE(2021, 8, 25)</f>
        <v>25569.3125</v>
      </c>
      <c r="B1002" s="6">
        <v>72.25</v>
      </c>
    </row>
    <row x14ac:dyDescent="0.25" r="1003" customHeight="1" ht="18.75">
      <c r="A1003" s="5">
        <f>DATE(2021, 8, 24)</f>
        <v>25569.3125</v>
      </c>
      <c r="B1003" s="6">
        <v>71.05</v>
      </c>
    </row>
    <row x14ac:dyDescent="0.25" r="1004" customHeight="1" ht="18.75">
      <c r="A1004" s="5">
        <f>DATE(2021, 8, 23)</f>
        <v>25569.3125</v>
      </c>
      <c r="B1004" s="6">
        <v>68.75</v>
      </c>
    </row>
    <row x14ac:dyDescent="0.25" r="1005" customHeight="1" ht="18.75">
      <c r="A1005" s="5">
        <f>DATE(2021, 8, 20)</f>
        <v>25569.3125</v>
      </c>
      <c r="B1005" s="6">
        <v>65.18</v>
      </c>
    </row>
    <row x14ac:dyDescent="0.25" r="1006" customHeight="1" ht="18.75">
      <c r="A1006" s="5">
        <f>DATE(2021, 8, 19)</f>
        <v>25569.3125</v>
      </c>
      <c r="B1006" s="6">
        <v>66.45</v>
      </c>
    </row>
    <row x14ac:dyDescent="0.25" r="1007" customHeight="1" ht="18.75">
      <c r="A1007" s="5">
        <f>DATE(2021, 8, 18)</f>
        <v>25569.3125</v>
      </c>
      <c r="B1007" s="6">
        <v>68.23</v>
      </c>
    </row>
    <row x14ac:dyDescent="0.25" r="1008" customHeight="1" ht="18.75">
      <c r="A1008" s="5">
        <f>DATE(2021, 8, 17)</f>
        <v>25569.3125</v>
      </c>
      <c r="B1008" s="6">
        <v>69.03</v>
      </c>
    </row>
    <row x14ac:dyDescent="0.25" r="1009" customHeight="1" ht="18.75">
      <c r="A1009" s="5">
        <f>DATE(2021, 8, 16)</f>
        <v>25569.3125</v>
      </c>
      <c r="B1009" s="6">
        <v>69.51</v>
      </c>
    </row>
    <row x14ac:dyDescent="0.25" r="1010" customHeight="1" ht="18.75">
      <c r="A1010" s="5">
        <f>DATE(2021, 8, 13)</f>
        <v>25569.3125</v>
      </c>
      <c r="B1010" s="6">
        <v>70.59</v>
      </c>
    </row>
    <row x14ac:dyDescent="0.25" r="1011" customHeight="1" ht="18.75">
      <c r="A1011" s="5">
        <f>DATE(2021, 8, 12)</f>
        <v>25569.3125</v>
      </c>
      <c r="B1011" s="6">
        <v>71.31</v>
      </c>
    </row>
    <row x14ac:dyDescent="0.25" r="1012" customHeight="1" ht="18.75">
      <c r="A1012" s="5">
        <f>DATE(2021, 8, 11)</f>
        <v>25569.3125</v>
      </c>
      <c r="B1012" s="6">
        <v>71.44</v>
      </c>
    </row>
    <row x14ac:dyDescent="0.25" r="1013" customHeight="1" ht="18.75">
      <c r="A1013" s="5">
        <f>DATE(2021, 8, 10)</f>
        <v>25569.3125</v>
      </c>
      <c r="B1013" s="6">
        <v>70.63</v>
      </c>
    </row>
    <row x14ac:dyDescent="0.25" r="1014" customHeight="1" ht="18.75">
      <c r="A1014" s="5">
        <f>DATE(2021, 8, 9)</f>
        <v>25569.3125</v>
      </c>
      <c r="B1014" s="6">
        <v>69.04</v>
      </c>
    </row>
    <row x14ac:dyDescent="0.25" r="1015" customHeight="1" ht="18.75">
      <c r="A1015" s="5">
        <f>DATE(2021, 8, 6)</f>
        <v>25569.3125</v>
      </c>
      <c r="B1015" s="6">
        <v>70.7</v>
      </c>
    </row>
    <row x14ac:dyDescent="0.25" r="1016" customHeight="1" ht="18.75">
      <c r="A1016" s="5">
        <f>DATE(2021, 8, 5)</f>
        <v>25569.3125</v>
      </c>
      <c r="B1016" s="6">
        <v>71.29</v>
      </c>
    </row>
    <row x14ac:dyDescent="0.25" r="1017" customHeight="1" ht="18.75">
      <c r="A1017" s="5">
        <f>DATE(2021, 8, 4)</f>
        <v>25569.3125</v>
      </c>
      <c r="B1017" s="6">
        <v>70.38</v>
      </c>
    </row>
    <row x14ac:dyDescent="0.25" r="1018" customHeight="1" ht="18.75">
      <c r="A1018" s="5">
        <f>DATE(2021, 8, 3)</f>
        <v>25569.3125</v>
      </c>
      <c r="B1018" s="6">
        <v>72.41</v>
      </c>
    </row>
    <row x14ac:dyDescent="0.25" r="1019" customHeight="1" ht="18.75">
      <c r="A1019" s="5">
        <f>DATE(2021, 8, 2)</f>
        <v>25569.3125</v>
      </c>
      <c r="B1019" s="6">
        <v>72.89</v>
      </c>
    </row>
    <row x14ac:dyDescent="0.25" r="1020" customHeight="1" ht="18.75">
      <c r="A1020" s="5">
        <f>DATE(2021, 7, 30)</f>
        <v>25569.3125</v>
      </c>
      <c r="B1020" s="6">
        <v>76.33</v>
      </c>
    </row>
    <row x14ac:dyDescent="0.25" r="1021" customHeight="1" ht="18.75">
      <c r="A1021" s="5">
        <f>DATE(2021, 7, 29)</f>
        <v>25569.3125</v>
      </c>
      <c r="B1021" s="6">
        <v>76.05</v>
      </c>
    </row>
    <row x14ac:dyDescent="0.25" r="1022" customHeight="1" ht="18.75">
      <c r="A1022" s="5">
        <f>DATE(2021, 7, 28)</f>
        <v>25569.3125</v>
      </c>
      <c r="B1022" s="6">
        <v>74.74</v>
      </c>
    </row>
    <row x14ac:dyDescent="0.25" r="1023" customHeight="1" ht="18.75">
      <c r="A1023" s="5">
        <f>DATE(2021, 7, 27)</f>
        <v>25569.3125</v>
      </c>
      <c r="B1023" s="6">
        <v>74.48</v>
      </c>
    </row>
    <row x14ac:dyDescent="0.25" r="1024" customHeight="1" ht="18.75">
      <c r="A1024" s="5">
        <f>DATE(2021, 7, 26)</f>
        <v>25569.3125</v>
      </c>
      <c r="B1024" s="6">
        <v>74.5</v>
      </c>
    </row>
    <row x14ac:dyDescent="0.25" r="1025" customHeight="1" ht="18.75">
      <c r="A1025" s="5">
        <f>DATE(2021, 7, 23)</f>
        <v>25569.3125</v>
      </c>
      <c r="B1025" s="6">
        <v>74.1</v>
      </c>
    </row>
    <row x14ac:dyDescent="0.25" r="1026" customHeight="1" ht="18.75">
      <c r="A1026" s="5">
        <f>DATE(2021, 7, 22)</f>
        <v>25569.3125</v>
      </c>
      <c r="B1026" s="6">
        <v>73.79</v>
      </c>
    </row>
    <row x14ac:dyDescent="0.25" r="1027" customHeight="1" ht="18.75">
      <c r="A1027" s="5">
        <f>DATE(2021, 7, 21)</f>
        <v>25569.3125</v>
      </c>
      <c r="B1027" s="6">
        <v>72.23</v>
      </c>
    </row>
    <row x14ac:dyDescent="0.25" r="1028" customHeight="1" ht="18.75">
      <c r="A1028" s="5">
        <f>DATE(2021, 7, 20)</f>
        <v>25569.3125</v>
      </c>
      <c r="B1028" s="6">
        <v>69.35</v>
      </c>
    </row>
    <row x14ac:dyDescent="0.25" r="1029" customHeight="1" ht="18.75">
      <c r="A1029" s="5">
        <f>DATE(2021, 7, 19)</f>
        <v>25569.3125</v>
      </c>
      <c r="B1029" s="6">
        <v>68.62</v>
      </c>
    </row>
    <row x14ac:dyDescent="0.25" r="1030" customHeight="1" ht="18.75">
      <c r="A1030" s="5">
        <f>DATE(2021, 7, 16)</f>
        <v>25569.3125</v>
      </c>
      <c r="B1030" s="6">
        <v>73.59</v>
      </c>
    </row>
    <row x14ac:dyDescent="0.25" r="1031" customHeight="1" ht="18.75">
      <c r="A1031" s="5">
        <f>DATE(2021, 7, 15)</f>
        <v>25569.3125</v>
      </c>
      <c r="B1031" s="6">
        <v>73.47</v>
      </c>
    </row>
    <row x14ac:dyDescent="0.25" r="1032" customHeight="1" ht="18.75">
      <c r="A1032" s="5">
        <f>DATE(2021, 7, 14)</f>
        <v>25569.3125</v>
      </c>
      <c r="B1032" s="6">
        <v>74.76</v>
      </c>
    </row>
    <row x14ac:dyDescent="0.25" r="1033" customHeight="1" ht="18.75">
      <c r="A1033" s="5">
        <f>DATE(2021, 7, 13)</f>
        <v>25569.3125</v>
      </c>
      <c r="B1033" s="6">
        <v>76.49</v>
      </c>
    </row>
    <row x14ac:dyDescent="0.25" r="1034" customHeight="1" ht="18.75">
      <c r="A1034" s="5">
        <f>DATE(2021, 7, 12)</f>
        <v>25569.3125</v>
      </c>
      <c r="B1034" s="6">
        <v>75.16</v>
      </c>
    </row>
    <row x14ac:dyDescent="0.25" r="1035" customHeight="1" ht="18.75">
      <c r="A1035" s="5">
        <f>DATE(2021, 7, 9)</f>
        <v>25569.3125</v>
      </c>
      <c r="B1035" s="6">
        <v>75.55</v>
      </c>
    </row>
    <row x14ac:dyDescent="0.25" r="1036" customHeight="1" ht="18.75">
      <c r="A1036" s="5">
        <f>DATE(2021, 7, 8)</f>
        <v>25569.3125</v>
      </c>
      <c r="B1036" s="6">
        <v>74.12</v>
      </c>
    </row>
    <row x14ac:dyDescent="0.25" r="1037" customHeight="1" ht="18.75">
      <c r="A1037" s="5">
        <f>DATE(2021, 7, 7)</f>
        <v>25569.3125</v>
      </c>
      <c r="B1037" s="6">
        <v>73.43</v>
      </c>
    </row>
    <row x14ac:dyDescent="0.25" r="1038" customHeight="1" ht="18.75">
      <c r="A1038" s="5">
        <f>DATE(2021, 7, 6)</f>
        <v>25569.3125</v>
      </c>
      <c r="B1038" s="6">
        <v>74.53</v>
      </c>
    </row>
    <row x14ac:dyDescent="0.25" r="1039" customHeight="1" ht="18.75">
      <c r="A1039" s="5">
        <f>DATE(2021, 7, 5)</f>
        <v>25569.3125</v>
      </c>
      <c r="B1039" s="6">
        <v>77.16</v>
      </c>
    </row>
    <row x14ac:dyDescent="0.25" r="1040" customHeight="1" ht="18.75">
      <c r="A1040" s="5">
        <f>DATE(2021, 7, 2)</f>
        <v>25569.3125</v>
      </c>
      <c r="B1040" s="6">
        <v>76.17</v>
      </c>
    </row>
    <row x14ac:dyDescent="0.25" r="1041" customHeight="1" ht="18.75">
      <c r="A1041" s="5">
        <f>DATE(2021, 7, 1)</f>
        <v>25569.3125</v>
      </c>
      <c r="B1041" s="6">
        <v>75.84</v>
      </c>
    </row>
    <row x14ac:dyDescent="0.25" r="1042" customHeight="1" ht="18.75">
      <c r="A1042" s="5">
        <f>DATE(2021, 6, 30)</f>
        <v>25569.3125</v>
      </c>
      <c r="B1042" s="6">
        <v>75.13</v>
      </c>
    </row>
    <row x14ac:dyDescent="0.25" r="1043" customHeight="1" ht="18.75">
      <c r="A1043" s="5">
        <f>DATE(2021, 6, 29)</f>
        <v>25569.3125</v>
      </c>
      <c r="B1043" s="6">
        <v>74.76</v>
      </c>
    </row>
    <row x14ac:dyDescent="0.25" r="1044" customHeight="1" ht="18.75">
      <c r="A1044" s="5">
        <f>DATE(2021, 6, 28)</f>
        <v>25569.3125</v>
      </c>
      <c r="B1044" s="6">
        <v>74.68</v>
      </c>
    </row>
    <row x14ac:dyDescent="0.25" r="1045" customHeight="1" ht="18.75">
      <c r="A1045" s="5">
        <f>DATE(2021, 6, 25)</f>
        <v>25569.3125</v>
      </c>
      <c r="B1045" s="6">
        <v>76.18</v>
      </c>
    </row>
    <row x14ac:dyDescent="0.25" r="1046" customHeight="1" ht="18.75">
      <c r="A1046" s="5">
        <f>DATE(2021, 6, 24)</f>
        <v>25569.3125</v>
      </c>
      <c r="B1046" s="6">
        <v>75.56</v>
      </c>
    </row>
    <row x14ac:dyDescent="0.25" r="1047" customHeight="1" ht="18.75">
      <c r="A1047" s="5">
        <f>DATE(2021, 6, 23)</f>
        <v>25569.3125</v>
      </c>
      <c r="B1047" s="6">
        <v>75.19</v>
      </c>
    </row>
    <row x14ac:dyDescent="0.25" r="1048" customHeight="1" ht="18.75">
      <c r="A1048" s="5">
        <f>DATE(2021, 6, 22)</f>
        <v>25569.3125</v>
      </c>
      <c r="B1048" s="6">
        <v>74.81</v>
      </c>
    </row>
    <row x14ac:dyDescent="0.25" r="1049" customHeight="1" ht="18.75">
      <c r="A1049" s="5">
        <f>DATE(2021, 6, 21)</f>
        <v>25569.3125</v>
      </c>
      <c r="B1049" s="6">
        <v>74.9</v>
      </c>
    </row>
    <row x14ac:dyDescent="0.25" r="1050" customHeight="1" ht="18.75">
      <c r="A1050" s="5">
        <f>DATE(2021, 6, 18)</f>
        <v>25569.3125</v>
      </c>
      <c r="B1050" s="6">
        <v>73.51</v>
      </c>
    </row>
    <row x14ac:dyDescent="0.25" r="1051" customHeight="1" ht="18.75">
      <c r="A1051" s="5">
        <f>DATE(2021, 6, 17)</f>
        <v>25569.3125</v>
      </c>
      <c r="B1051" s="6">
        <v>73.08</v>
      </c>
    </row>
    <row x14ac:dyDescent="0.25" r="1052" customHeight="1" ht="18.75">
      <c r="A1052" s="5">
        <f>DATE(2021, 6, 16)</f>
        <v>25569.3125</v>
      </c>
      <c r="B1052" s="6">
        <v>74.39</v>
      </c>
    </row>
    <row x14ac:dyDescent="0.25" r="1053" customHeight="1" ht="18.75">
      <c r="A1053" s="5">
        <f>DATE(2021, 6, 15)</f>
        <v>25569.3125</v>
      </c>
      <c r="B1053" s="6">
        <v>73.99</v>
      </c>
    </row>
    <row x14ac:dyDescent="0.25" r="1054" customHeight="1" ht="18.75">
      <c r="A1054" s="5">
        <f>DATE(2021, 6, 14)</f>
        <v>25569.3125</v>
      </c>
      <c r="B1054" s="6">
        <v>72.86</v>
      </c>
    </row>
    <row x14ac:dyDescent="0.25" r="1055" customHeight="1" ht="18.75">
      <c r="A1055" s="5">
        <f>DATE(2021, 6, 11)</f>
        <v>25569.3125</v>
      </c>
      <c r="B1055" s="6">
        <v>72.69</v>
      </c>
    </row>
    <row x14ac:dyDescent="0.25" r="1056" customHeight="1" ht="18.75">
      <c r="A1056" s="5">
        <f>DATE(2021, 6, 10)</f>
        <v>25569.3125</v>
      </c>
      <c r="B1056" s="6">
        <v>72.52</v>
      </c>
    </row>
    <row x14ac:dyDescent="0.25" r="1057" customHeight="1" ht="18.75">
      <c r="A1057" s="5">
        <f>DATE(2021, 6, 9)</f>
        <v>25569.3125</v>
      </c>
      <c r="B1057" s="6">
        <v>72.22</v>
      </c>
    </row>
    <row x14ac:dyDescent="0.25" r="1058" customHeight="1" ht="18.75">
      <c r="A1058" s="5">
        <f>DATE(2021, 6, 8)</f>
        <v>25569.3125</v>
      </c>
      <c r="B1058" s="6">
        <v>72.22</v>
      </c>
    </row>
    <row x14ac:dyDescent="0.25" r="1059" customHeight="1" ht="18.75">
      <c r="A1059" s="5">
        <f>DATE(2021, 6, 7)</f>
        <v>25569.3125</v>
      </c>
      <c r="B1059" s="6">
        <v>71.49</v>
      </c>
    </row>
    <row x14ac:dyDescent="0.25" r="1060" customHeight="1" ht="18.75">
      <c r="A1060" s="5">
        <f>DATE(2021, 6, 4)</f>
        <v>25569.3125</v>
      </c>
      <c r="B1060" s="6">
        <v>71.89</v>
      </c>
    </row>
    <row x14ac:dyDescent="0.25" r="1061" customHeight="1" ht="18.75">
      <c r="A1061" s="5">
        <f>DATE(2021, 6, 3)</f>
        <v>25569.3125</v>
      </c>
      <c r="B1061" s="6">
        <v>71.31</v>
      </c>
    </row>
    <row x14ac:dyDescent="0.25" r="1062" customHeight="1" ht="18.75">
      <c r="A1062" s="5">
        <f>DATE(2021, 6, 2)</f>
        <v>25569.3125</v>
      </c>
      <c r="B1062" s="6">
        <v>71.35</v>
      </c>
    </row>
    <row x14ac:dyDescent="0.25" r="1063" customHeight="1" ht="18.75">
      <c r="A1063" s="5">
        <f>DATE(2021, 6, 1)</f>
        <v>25569.3125</v>
      </c>
      <c r="B1063" s="6">
        <v>70.25</v>
      </c>
    </row>
    <row x14ac:dyDescent="0.25" r="1064" customHeight="1" ht="18.75">
      <c r="A1064" s="5">
        <f>DATE(2021, 5, 31)</f>
        <v>25569.3125</v>
      </c>
      <c r="B1064" s="6">
        <v>69.32</v>
      </c>
    </row>
    <row x14ac:dyDescent="0.25" r="1065" customHeight="1" ht="18.75">
      <c r="A1065" s="5">
        <f>DATE(2021, 5, 28)</f>
        <v>25569.3125</v>
      </c>
      <c r="B1065" s="6">
        <v>69.63</v>
      </c>
    </row>
    <row x14ac:dyDescent="0.25" r="1066" customHeight="1" ht="18.75">
      <c r="A1066" s="5">
        <f>DATE(2021, 5, 27)</f>
        <v>25569.3125</v>
      </c>
      <c r="B1066" s="6">
        <v>69.46</v>
      </c>
    </row>
    <row x14ac:dyDescent="0.25" r="1067" customHeight="1" ht="18.75">
      <c r="A1067" s="5">
        <f>DATE(2021, 5, 26)</f>
        <v>25569.3125</v>
      </c>
      <c r="B1067" s="6">
        <v>68.87</v>
      </c>
    </row>
    <row x14ac:dyDescent="0.25" r="1068" customHeight="1" ht="18.75">
      <c r="A1068" s="5">
        <f>DATE(2021, 5, 25)</f>
        <v>25569.3125</v>
      </c>
      <c r="B1068" s="6">
        <v>68.65</v>
      </c>
    </row>
    <row x14ac:dyDescent="0.25" r="1069" customHeight="1" ht="18.75">
      <c r="A1069" s="5">
        <f>DATE(2021, 5, 24)</f>
        <v>25569.3125</v>
      </c>
      <c r="B1069" s="6">
        <v>68.46</v>
      </c>
    </row>
    <row x14ac:dyDescent="0.25" r="1070" customHeight="1" ht="18.75">
      <c r="A1070" s="5">
        <f>DATE(2021, 5, 21)</f>
        <v>25569.3125</v>
      </c>
      <c r="B1070" s="6">
        <v>66.44</v>
      </c>
    </row>
    <row x14ac:dyDescent="0.25" r="1071" customHeight="1" ht="18.75">
      <c r="A1071" s="5">
        <f>DATE(2021, 5, 20)</f>
        <v>25569.3125</v>
      </c>
      <c r="B1071" s="6">
        <v>65.11</v>
      </c>
    </row>
    <row x14ac:dyDescent="0.25" r="1072" customHeight="1" ht="18.75">
      <c r="A1072" s="5">
        <f>DATE(2021, 5, 19)</f>
        <v>25569.3125</v>
      </c>
      <c r="B1072" s="6">
        <v>66.66</v>
      </c>
    </row>
    <row x14ac:dyDescent="0.25" r="1073" customHeight="1" ht="18.75">
      <c r="A1073" s="5">
        <f>DATE(2021, 5, 18)</f>
        <v>25569.3125</v>
      </c>
      <c r="B1073" s="6">
        <v>68.71</v>
      </c>
    </row>
    <row x14ac:dyDescent="0.25" r="1074" customHeight="1" ht="18.75">
      <c r="A1074" s="5">
        <f>DATE(2021, 5, 17)</f>
        <v>25569.3125</v>
      </c>
      <c r="B1074" s="6">
        <v>69.46</v>
      </c>
    </row>
    <row x14ac:dyDescent="0.25" r="1075" customHeight="1" ht="18.75">
      <c r="A1075" s="5">
        <f>DATE(2021, 5, 14)</f>
        <v>25569.3125</v>
      </c>
      <c r="B1075" s="6">
        <v>68.71</v>
      </c>
    </row>
    <row x14ac:dyDescent="0.25" r="1076" customHeight="1" ht="18.75">
      <c r="A1076" s="5">
        <f>DATE(2021, 5, 13)</f>
        <v>25569.3125</v>
      </c>
      <c r="B1076" s="6">
        <v>67.05</v>
      </c>
    </row>
    <row x14ac:dyDescent="0.25" r="1077" customHeight="1" ht="18.75">
      <c r="A1077" s="5">
        <f>DATE(2021, 5, 12)</f>
        <v>25569.3125</v>
      </c>
      <c r="B1077" s="6">
        <v>69.32</v>
      </c>
    </row>
    <row x14ac:dyDescent="0.25" r="1078" customHeight="1" ht="18.75">
      <c r="A1078" s="5">
        <f>DATE(2021, 5, 11)</f>
        <v>25569.3125</v>
      </c>
      <c r="B1078" s="6">
        <v>68.55</v>
      </c>
    </row>
    <row x14ac:dyDescent="0.25" r="1079" customHeight="1" ht="18.75">
      <c r="A1079" s="5">
        <f>DATE(2021, 5, 10)</f>
        <v>25569.3125</v>
      </c>
      <c r="B1079" s="6">
        <v>68.32</v>
      </c>
    </row>
    <row x14ac:dyDescent="0.25" r="1080" customHeight="1" ht="18.75">
      <c r="A1080" s="5">
        <f>DATE(2021, 5, 7)</f>
        <v>25569.3125</v>
      </c>
      <c r="B1080" s="6">
        <v>68.28</v>
      </c>
    </row>
    <row x14ac:dyDescent="0.25" r="1081" customHeight="1" ht="18.75">
      <c r="A1081" s="5">
        <f>DATE(2021, 5, 6)</f>
        <v>25569.3125</v>
      </c>
      <c r="B1081" s="6">
        <v>68.09</v>
      </c>
    </row>
    <row x14ac:dyDescent="0.25" r="1082" customHeight="1" ht="18.75">
      <c r="A1082" s="5">
        <f>DATE(2021, 5, 5)</f>
        <v>25569.3125</v>
      </c>
      <c r="B1082" s="6">
        <v>68.96</v>
      </c>
    </row>
    <row x14ac:dyDescent="0.25" r="1083" customHeight="1" ht="18.75">
      <c r="A1083" s="5">
        <f>DATE(2021, 5, 4)</f>
        <v>25569.3125</v>
      </c>
      <c r="B1083" s="6">
        <v>68.88</v>
      </c>
    </row>
    <row x14ac:dyDescent="0.25" r="1084" customHeight="1" ht="18.75">
      <c r="A1084" s="5">
        <f>DATE(2021, 5, 3)</f>
        <v>25569.3125</v>
      </c>
      <c r="B1084" s="6">
        <v>67.56</v>
      </c>
    </row>
    <row x14ac:dyDescent="0.25" r="1085" customHeight="1" ht="18.75">
      <c r="A1085" s="5">
        <f>DATE(2021, 4, 30)</f>
        <v>25569.3125</v>
      </c>
      <c r="B1085" s="6">
        <v>67.25</v>
      </c>
    </row>
    <row x14ac:dyDescent="0.25" r="1086" customHeight="1" ht="18.75">
      <c r="A1086" s="5">
        <f>DATE(2021, 4, 29)</f>
        <v>25569.3125</v>
      </c>
      <c r="B1086" s="6">
        <v>68.56</v>
      </c>
    </row>
    <row x14ac:dyDescent="0.25" r="1087" customHeight="1" ht="18.75">
      <c r="A1087" s="5">
        <f>DATE(2021, 4, 28)</f>
        <v>25569.3125</v>
      </c>
      <c r="B1087" s="6">
        <v>67.27</v>
      </c>
    </row>
    <row x14ac:dyDescent="0.25" r="1088" customHeight="1" ht="18.75">
      <c r="A1088" s="5">
        <f>DATE(2021, 4, 27)</f>
        <v>25569.3125</v>
      </c>
      <c r="B1088" s="6">
        <v>66.42</v>
      </c>
    </row>
    <row x14ac:dyDescent="0.25" r="1089" customHeight="1" ht="18.75">
      <c r="A1089" s="5">
        <f>DATE(2021, 4, 26)</f>
        <v>25569.3125</v>
      </c>
      <c r="B1089" s="6">
        <v>65.65</v>
      </c>
    </row>
    <row x14ac:dyDescent="0.25" r="1090" customHeight="1" ht="18.75">
      <c r="A1090" s="5">
        <f>DATE(2021, 4, 23)</f>
        <v>25569.3125</v>
      </c>
      <c r="B1090" s="6">
        <v>66.11</v>
      </c>
    </row>
    <row x14ac:dyDescent="0.25" r="1091" customHeight="1" ht="18.75">
      <c r="A1091" s="5">
        <f>DATE(2021, 4, 22)</f>
        <v>25569.3125</v>
      </c>
      <c r="B1091" s="6">
        <v>65.4</v>
      </c>
    </row>
    <row x14ac:dyDescent="0.25" r="1092" customHeight="1" ht="18.75">
      <c r="A1092" s="5">
        <f>DATE(2021, 4, 21)</f>
        <v>25569.3125</v>
      </c>
      <c r="B1092" s="6">
        <v>65.32</v>
      </c>
    </row>
    <row x14ac:dyDescent="0.25" r="1093" customHeight="1" ht="18.75">
      <c r="A1093" s="5">
        <f>DATE(2021, 4, 20)</f>
        <v>25569.3125</v>
      </c>
      <c r="B1093" s="6">
        <v>66.57</v>
      </c>
    </row>
    <row x14ac:dyDescent="0.25" r="1094" customHeight="1" ht="18.75">
      <c r="A1094" s="5">
        <f>DATE(2021, 4, 19)</f>
        <v>25569.3125</v>
      </c>
      <c r="B1094" s="6">
        <v>67.05</v>
      </c>
    </row>
    <row x14ac:dyDescent="0.25" r="1095" customHeight="1" ht="18.75">
      <c r="A1095" s="5">
        <f>DATE(2021, 4, 16)</f>
        <v>25569.3125</v>
      </c>
      <c r="B1095" s="6">
        <v>66.77</v>
      </c>
    </row>
    <row x14ac:dyDescent="0.25" r="1096" customHeight="1" ht="18.75">
      <c r="A1096" s="5">
        <f>DATE(2021, 4, 15)</f>
        <v>25569.3125</v>
      </c>
      <c r="B1096" s="6">
        <v>66.94</v>
      </c>
    </row>
    <row x14ac:dyDescent="0.25" r="1097" customHeight="1" ht="18.75">
      <c r="A1097" s="5">
        <f>DATE(2021, 4, 14)</f>
        <v>25569.3125</v>
      </c>
      <c r="B1097" s="6">
        <v>66.58</v>
      </c>
    </row>
    <row x14ac:dyDescent="0.25" r="1098" customHeight="1" ht="18.75">
      <c r="A1098" s="5">
        <f>DATE(2021, 4, 13)</f>
        <v>25569.3125</v>
      </c>
      <c r="B1098" s="6">
        <v>63.67</v>
      </c>
    </row>
    <row x14ac:dyDescent="0.25" r="1099" customHeight="1" ht="18.75">
      <c r="A1099" s="5">
        <f>DATE(2021, 4, 12)</f>
        <v>25569.3125</v>
      </c>
      <c r="B1099" s="6">
        <v>63.28</v>
      </c>
    </row>
    <row x14ac:dyDescent="0.25" r="1100" customHeight="1" ht="18.75">
      <c r="A1100" s="5">
        <f>DATE(2021, 4, 9)</f>
        <v>25569.3125</v>
      </c>
      <c r="B1100" s="6">
        <v>62.95</v>
      </c>
    </row>
    <row x14ac:dyDescent="0.25" r="1101" customHeight="1" ht="18.75">
      <c r="A1101" s="5">
        <f>DATE(2021, 4, 8)</f>
        <v>25569.3125</v>
      </c>
      <c r="B1101" s="6">
        <v>63.2</v>
      </c>
    </row>
    <row x14ac:dyDescent="0.25" r="1102" customHeight="1" ht="18.75">
      <c r="A1102" s="5">
        <f>DATE(2021, 4, 7)</f>
        <v>25569.3125</v>
      </c>
      <c r="B1102" s="6">
        <v>63.16</v>
      </c>
    </row>
    <row x14ac:dyDescent="0.25" r="1103" customHeight="1" ht="18.75">
      <c r="A1103" s="5">
        <f>DATE(2021, 4, 6)</f>
        <v>25569.3125</v>
      </c>
      <c r="B1103" s="6">
        <v>62.74</v>
      </c>
    </row>
    <row x14ac:dyDescent="0.25" r="1104" customHeight="1" ht="18.75">
      <c r="A1104" s="5">
        <f>DATE(2021, 4, 5)</f>
        <v>25569.3125</v>
      </c>
      <c r="B1104" s="6">
        <v>62.15</v>
      </c>
    </row>
    <row x14ac:dyDescent="0.25" r="1105" customHeight="1" ht="18.75">
      <c r="A1105" s="5">
        <f>DATE(2021, 4, 2)</f>
        <v>25569.3125</v>
      </c>
      <c r="B1105" s="6">
        <v>64.86</v>
      </c>
    </row>
    <row x14ac:dyDescent="0.25" r="1106" customHeight="1" ht="18.75">
      <c r="A1106" s="5">
        <f>DATE(2021, 4, 1)</f>
        <v>25569.3125</v>
      </c>
      <c r="B1106" s="6">
        <v>64.86</v>
      </c>
    </row>
    <row x14ac:dyDescent="0.25" r="1107" customHeight="1" ht="18.75">
      <c r="A1107" s="5">
        <f>DATE(2021, 3, 31)</f>
        <v>25569.3125</v>
      </c>
      <c r="B1107" s="6">
        <v>63.54</v>
      </c>
    </row>
    <row x14ac:dyDescent="0.25" r="1108" customHeight="1" ht="18.75">
      <c r="A1108" s="5">
        <f>DATE(2021, 3, 30)</f>
        <v>25569.3125</v>
      </c>
      <c r="B1108" s="6">
        <v>64.14</v>
      </c>
    </row>
    <row x14ac:dyDescent="0.25" r="1109" customHeight="1" ht="18.75">
      <c r="A1109" s="5">
        <f>DATE(2021, 3, 29)</f>
        <v>25569.3125</v>
      </c>
      <c r="B1109" s="6">
        <v>64.98</v>
      </c>
    </row>
    <row x14ac:dyDescent="0.25" r="1110" customHeight="1" ht="18.75">
      <c r="A1110" s="5">
        <f>DATE(2021, 3, 26)</f>
        <v>25569.3125</v>
      </c>
      <c r="B1110" s="6">
        <v>64.57</v>
      </c>
    </row>
    <row x14ac:dyDescent="0.25" r="1111" customHeight="1" ht="18.75">
      <c r="A1111" s="5">
        <f>DATE(2021, 3, 25)</f>
        <v>25569.3125</v>
      </c>
      <c r="B1111" s="6">
        <v>61.95</v>
      </c>
    </row>
    <row x14ac:dyDescent="0.25" r="1112" customHeight="1" ht="18.75">
      <c r="A1112" s="5">
        <f>DATE(2021, 3, 24)</f>
        <v>25569.3125</v>
      </c>
      <c r="B1112" s="6">
        <v>64.41</v>
      </c>
    </row>
    <row x14ac:dyDescent="0.25" r="1113" customHeight="1" ht="18.75">
      <c r="A1113" s="5">
        <f>DATE(2021, 3, 23)</f>
        <v>25569.3125</v>
      </c>
      <c r="B1113" s="6">
        <v>60.79</v>
      </c>
    </row>
    <row x14ac:dyDescent="0.25" r="1114" customHeight="1" ht="18.75">
      <c r="A1114" s="5">
        <f>DATE(2021, 3, 22)</f>
        <v>25569.3125</v>
      </c>
      <c r="B1114" s="6">
        <v>64.62</v>
      </c>
    </row>
    <row x14ac:dyDescent="0.25" r="1115" customHeight="1" ht="18.75">
      <c r="A1115" s="5">
        <f>DATE(2021, 3, 19)</f>
        <v>25569.3125</v>
      </c>
      <c r="B1115" s="6">
        <v>64.53</v>
      </c>
    </row>
    <row x14ac:dyDescent="0.25" r="1116" customHeight="1" ht="18.75">
      <c r="A1116" s="5">
        <f>DATE(2021, 3, 18)</f>
        <v>25569.3125</v>
      </c>
      <c r="B1116" s="6">
        <v>63.28</v>
      </c>
    </row>
    <row x14ac:dyDescent="0.25" r="1117" customHeight="1" ht="18.75">
      <c r="A1117" s="5">
        <f>DATE(2021, 3, 17)</f>
        <v>25569.3125</v>
      </c>
      <c r="B1117" s="6">
        <v>68</v>
      </c>
    </row>
    <row x14ac:dyDescent="0.25" r="1118" customHeight="1" ht="18.75">
      <c r="A1118" s="5">
        <f>DATE(2021, 3, 16)</f>
        <v>25569.3125</v>
      </c>
      <c r="B1118" s="6">
        <v>68.39</v>
      </c>
    </row>
    <row x14ac:dyDescent="0.25" r="1119" customHeight="1" ht="18.75">
      <c r="A1119" s="5">
        <f>DATE(2021, 3, 15)</f>
        <v>25569.3125</v>
      </c>
      <c r="B1119" s="6">
        <v>68.88</v>
      </c>
    </row>
    <row x14ac:dyDescent="0.25" r="1120" customHeight="1" ht="18.75">
      <c r="A1120" s="5">
        <f>DATE(2021, 3, 12)</f>
        <v>25569.3125</v>
      </c>
      <c r="B1120" s="6">
        <v>69.22</v>
      </c>
    </row>
    <row x14ac:dyDescent="0.25" r="1121" customHeight="1" ht="18.75">
      <c r="A1121" s="5">
        <f>DATE(2021, 3, 11)</f>
        <v>25569.3125</v>
      </c>
      <c r="B1121" s="6">
        <v>69.63</v>
      </c>
    </row>
    <row x14ac:dyDescent="0.25" r="1122" customHeight="1" ht="18.75">
      <c r="A1122" s="5">
        <f>DATE(2021, 3, 10)</f>
        <v>25569.3125</v>
      </c>
      <c r="B1122" s="6">
        <v>67.9</v>
      </c>
    </row>
    <row x14ac:dyDescent="0.25" r="1123" customHeight="1" ht="18.75">
      <c r="A1123" s="5">
        <f>DATE(2021, 3, 9)</f>
        <v>25569.3125</v>
      </c>
      <c r="B1123" s="6">
        <v>67.52</v>
      </c>
    </row>
    <row x14ac:dyDescent="0.25" r="1124" customHeight="1" ht="18.75">
      <c r="A1124" s="5">
        <f>DATE(2021, 3, 8)</f>
        <v>25569.3125</v>
      </c>
      <c r="B1124" s="6">
        <v>68.24</v>
      </c>
    </row>
    <row x14ac:dyDescent="0.25" r="1125" customHeight="1" ht="18.75">
      <c r="A1125" s="5">
        <f>DATE(2021, 3, 5)</f>
        <v>25569.3125</v>
      </c>
      <c r="B1125" s="6">
        <v>69.36</v>
      </c>
    </row>
    <row x14ac:dyDescent="0.25" r="1126" customHeight="1" ht="18.75">
      <c r="A1126" s="5">
        <f>DATE(2021, 3, 4)</f>
        <v>25569.3125</v>
      </c>
      <c r="B1126" s="6">
        <v>66.74</v>
      </c>
    </row>
    <row x14ac:dyDescent="0.25" r="1127" customHeight="1" ht="18.75">
      <c r="A1127" s="5">
        <f>DATE(2021, 3, 3)</f>
        <v>25569.3125</v>
      </c>
      <c r="B1127" s="6">
        <v>64.07</v>
      </c>
    </row>
    <row x14ac:dyDescent="0.25" r="1128" customHeight="1" ht="18.75">
      <c r="A1128" s="5">
        <f>DATE(2021, 3, 2)</f>
        <v>25569.3125</v>
      </c>
      <c r="B1128" s="6">
        <v>62.7</v>
      </c>
    </row>
    <row x14ac:dyDescent="0.25" r="1129" customHeight="1" ht="18.75">
      <c r="A1129" s="5">
        <f>DATE(2021, 3, 1)</f>
        <v>25569.3125</v>
      </c>
      <c r="B1129" s="6">
        <v>63.69</v>
      </c>
    </row>
    <row x14ac:dyDescent="0.25" r="1130" customHeight="1" ht="18.75">
      <c r="A1130" s="5">
        <f>DATE(2021, 2, 26)</f>
        <v>25569.3125</v>
      </c>
      <c r="B1130" s="6">
        <v>66.13</v>
      </c>
    </row>
    <row x14ac:dyDescent="0.25" r="1131" customHeight="1" ht="18.75">
      <c r="A1131" s="5">
        <f>DATE(2021, 2, 25)</f>
        <v>25569.3125</v>
      </c>
      <c r="B1131" s="6">
        <v>66.88</v>
      </c>
    </row>
    <row x14ac:dyDescent="0.25" r="1132" customHeight="1" ht="18.75">
      <c r="A1132" s="5">
        <f>DATE(2021, 2, 24)</f>
        <v>25569.3125</v>
      </c>
      <c r="B1132" s="6">
        <v>67.04</v>
      </c>
    </row>
    <row x14ac:dyDescent="0.25" r="1133" customHeight="1" ht="18.75">
      <c r="A1133" s="5">
        <f>DATE(2021, 2, 23)</f>
        <v>25569.3125</v>
      </c>
      <c r="B1133" s="6">
        <v>65.37</v>
      </c>
    </row>
    <row x14ac:dyDescent="0.25" r="1134" customHeight="1" ht="18.75">
      <c r="A1134" s="5">
        <f>DATE(2021, 2, 22)</f>
        <v>25569.3125</v>
      </c>
      <c r="B1134" s="6">
        <v>65.24</v>
      </c>
    </row>
    <row x14ac:dyDescent="0.25" r="1135" customHeight="1" ht="18.75">
      <c r="A1135" s="5">
        <f>DATE(2021, 2, 19)</f>
        <v>25569.3125</v>
      </c>
      <c r="B1135" s="6">
        <v>62.91</v>
      </c>
    </row>
    <row x14ac:dyDescent="0.25" r="1136" customHeight="1" ht="18.75">
      <c r="A1136" s="5">
        <f>DATE(2021, 2, 18)</f>
        <v>25569.3125</v>
      </c>
      <c r="B1136" s="6">
        <v>63.93</v>
      </c>
    </row>
    <row x14ac:dyDescent="0.25" r="1137" customHeight="1" ht="18.75">
      <c r="A1137" s="5">
        <f>DATE(2021, 2, 17)</f>
        <v>25569.3125</v>
      </c>
      <c r="B1137" s="6">
        <v>64.34</v>
      </c>
    </row>
    <row x14ac:dyDescent="0.25" r="1138" customHeight="1" ht="18.75">
      <c r="A1138" s="5">
        <f>DATE(2021, 2, 16)</f>
        <v>25569.3125</v>
      </c>
      <c r="B1138" s="6">
        <v>63.35</v>
      </c>
    </row>
    <row x14ac:dyDescent="0.25" r="1139" customHeight="1" ht="18.75">
      <c r="A1139" s="5">
        <f>DATE(2021, 2, 15)</f>
        <v>25569.3125</v>
      </c>
      <c r="B1139" s="6">
        <v>63.3</v>
      </c>
    </row>
    <row x14ac:dyDescent="0.25" r="1140" customHeight="1" ht="18.75">
      <c r="A1140" s="5">
        <f>DATE(2021, 2, 12)</f>
        <v>25569.3125</v>
      </c>
      <c r="B1140" s="6">
        <v>62.43</v>
      </c>
    </row>
    <row x14ac:dyDescent="0.25" r="1141" customHeight="1" ht="18.75">
      <c r="A1141" s="5">
        <f>DATE(2021, 2, 11)</f>
        <v>25569.3125</v>
      </c>
      <c r="B1141" s="6">
        <v>61.14</v>
      </c>
    </row>
    <row x14ac:dyDescent="0.25" r="1142" customHeight="1" ht="18.75">
      <c r="A1142" s="5">
        <f>DATE(2021, 2, 10)</f>
        <v>25569.3125</v>
      </c>
      <c r="B1142" s="6">
        <v>61.47</v>
      </c>
    </row>
    <row x14ac:dyDescent="0.25" r="1143" customHeight="1" ht="18.75">
      <c r="A1143" s="5">
        <f>DATE(2021, 2, 9)</f>
        <v>25569.3125</v>
      </c>
      <c r="B1143" s="6">
        <v>61.09</v>
      </c>
    </row>
    <row x14ac:dyDescent="0.25" r="1144" customHeight="1" ht="18.75">
      <c r="A1144" s="5">
        <f>DATE(2021, 2, 8)</f>
        <v>25569.3125</v>
      </c>
      <c r="B1144" s="6">
        <v>60.56</v>
      </c>
    </row>
    <row x14ac:dyDescent="0.25" r="1145" customHeight="1" ht="18.75">
      <c r="A1145" s="5">
        <f>DATE(2021, 2, 5)</f>
        <v>25569.3125</v>
      </c>
      <c r="B1145" s="6">
        <v>59.34</v>
      </c>
    </row>
    <row x14ac:dyDescent="0.25" r="1146" customHeight="1" ht="18.75">
      <c r="A1146" s="5">
        <f>DATE(2021, 2, 4)</f>
        <v>25569.3125</v>
      </c>
      <c r="B1146" s="6">
        <v>58.84</v>
      </c>
    </row>
    <row x14ac:dyDescent="0.25" r="1147" customHeight="1" ht="18.75">
      <c r="A1147" s="5">
        <f>DATE(2021, 2, 3)</f>
        <v>25569.3125</v>
      </c>
      <c r="B1147" s="6">
        <v>58.46</v>
      </c>
    </row>
    <row x14ac:dyDescent="0.25" r="1148" customHeight="1" ht="18.75">
      <c r="A1148" s="5">
        <f>DATE(2021, 2, 2)</f>
        <v>25569.3125</v>
      </c>
      <c r="B1148" s="6">
        <v>57.46</v>
      </c>
    </row>
    <row x14ac:dyDescent="0.25" r="1149" customHeight="1" ht="18.75">
      <c r="A1149" s="5">
        <f>DATE(2021, 2, 1)</f>
        <v>25569.3125</v>
      </c>
      <c r="B1149" s="6">
        <v>56.35</v>
      </c>
    </row>
    <row x14ac:dyDescent="0.25" r="1150" customHeight="1" ht="18.75">
      <c r="A1150" s="5">
        <f>DATE(2021, 1, 29)</f>
        <v>25569.3125</v>
      </c>
      <c r="B1150" s="6">
        <v>55.88</v>
      </c>
    </row>
    <row x14ac:dyDescent="0.25" r="1151" customHeight="1" ht="18.75">
      <c r="A1151" s="5">
        <f>DATE(2021, 1, 28)</f>
        <v>25569.3125</v>
      </c>
      <c r="B1151" s="6">
        <v>55.53</v>
      </c>
    </row>
    <row x14ac:dyDescent="0.25" r="1152" customHeight="1" ht="18.75">
      <c r="A1152" s="5">
        <f>DATE(2021, 1, 27)</f>
        <v>25569.3125</v>
      </c>
      <c r="B1152" s="6">
        <v>55.81</v>
      </c>
    </row>
    <row x14ac:dyDescent="0.25" r="1153" customHeight="1" ht="18.75">
      <c r="A1153" s="5">
        <f>DATE(2021, 1, 26)</f>
        <v>25569.3125</v>
      </c>
      <c r="B1153" s="6">
        <v>55.91</v>
      </c>
    </row>
    <row x14ac:dyDescent="0.25" r="1154" customHeight="1" ht="18.75">
      <c r="A1154" s="5">
        <f>DATE(2021, 1, 25)</f>
        <v>25569.3125</v>
      </c>
      <c r="B1154" s="6">
        <v>55.88</v>
      </c>
    </row>
    <row x14ac:dyDescent="0.25" r="1155" customHeight="1" ht="18.75">
      <c r="A1155" s="5">
        <f>DATE(2021, 1, 22)</f>
        <v>25569.3125</v>
      </c>
      <c r="B1155" s="6">
        <v>55.41</v>
      </c>
    </row>
    <row x14ac:dyDescent="0.25" r="1156" customHeight="1" ht="18.75">
      <c r="A1156" s="5">
        <f>DATE(2021, 1, 21)</f>
        <v>25569.3125</v>
      </c>
      <c r="B1156" s="6">
        <v>56.1</v>
      </c>
    </row>
    <row x14ac:dyDescent="0.25" r="1157" customHeight="1" ht="18.75">
      <c r="A1157" s="5">
        <f>DATE(2021, 1, 20)</f>
        <v>25569.3125</v>
      </c>
      <c r="B1157" s="6">
        <v>56.08</v>
      </c>
    </row>
    <row x14ac:dyDescent="0.25" r="1158" customHeight="1" ht="18.75">
      <c r="A1158" s="5">
        <f>DATE(2021, 1, 19)</f>
        <v>25569.3125</v>
      </c>
      <c r="B1158" s="6">
        <v>55.9</v>
      </c>
    </row>
    <row x14ac:dyDescent="0.25" r="1159" customHeight="1" ht="18.75">
      <c r="A1159" s="5">
        <f>DATE(2021, 1, 18)</f>
        <v>25569.3125</v>
      </c>
      <c r="B1159" s="6">
        <v>54.75</v>
      </c>
    </row>
    <row x14ac:dyDescent="0.25" r="1160" customHeight="1" ht="18.75">
      <c r="A1160" s="5">
        <f>DATE(2021, 1, 15)</f>
        <v>25569.3125</v>
      </c>
      <c r="B1160" s="6">
        <v>55.1</v>
      </c>
    </row>
    <row x14ac:dyDescent="0.25" r="1161" customHeight="1" ht="18.75">
      <c r="A1161" s="5">
        <f>DATE(2021, 1, 14)</f>
        <v>25569.3125</v>
      </c>
      <c r="B1161" s="6">
        <v>56.42</v>
      </c>
    </row>
    <row x14ac:dyDescent="0.25" r="1162" customHeight="1" ht="18.75">
      <c r="A1162" s="5">
        <f>DATE(2021, 1, 13)</f>
        <v>25569.3125</v>
      </c>
      <c r="B1162" s="6">
        <v>56.06</v>
      </c>
    </row>
    <row x14ac:dyDescent="0.25" r="1163" customHeight="1" ht="18.75">
      <c r="A1163" s="5">
        <f>DATE(2021, 1, 12)</f>
        <v>25569.3125</v>
      </c>
      <c r="B1163" s="6">
        <v>56.58</v>
      </c>
    </row>
    <row x14ac:dyDescent="0.25" r="1164" customHeight="1" ht="18.75">
      <c r="A1164" s="5">
        <f>DATE(2021, 1, 11)</f>
        <v>25569.3125</v>
      </c>
      <c r="B1164" s="6">
        <v>55.66</v>
      </c>
    </row>
    <row x14ac:dyDescent="0.25" r="1165" customHeight="1" ht="18.75">
      <c r="A1165" s="5">
        <f>DATE(2021, 1, 8)</f>
        <v>25569.3125</v>
      </c>
      <c r="B1165" s="6">
        <v>55.99</v>
      </c>
    </row>
    <row x14ac:dyDescent="0.25" r="1166" customHeight="1" ht="18.75">
      <c r="A1166" s="5">
        <f>DATE(2021, 1, 7)</f>
        <v>25569.3125</v>
      </c>
      <c r="B1166" s="6">
        <v>54.38</v>
      </c>
    </row>
    <row x14ac:dyDescent="0.25" r="1167" customHeight="1" ht="18.75">
      <c r="A1167" s="5">
        <f>DATE(2021, 1, 6)</f>
        <v>25569.3125</v>
      </c>
      <c r="B1167" s="6">
        <v>54.3</v>
      </c>
    </row>
    <row x14ac:dyDescent="0.25" r="1168" customHeight="1" ht="18.75">
      <c r="A1168" s="5">
        <f>DATE(2021, 1, 5)</f>
        <v>25569.3125</v>
      </c>
      <c r="B1168" s="6">
        <v>53.6</v>
      </c>
    </row>
    <row x14ac:dyDescent="0.25" r="1169" customHeight="1" ht="18.75">
      <c r="A1169" s="5">
        <f>DATE(2021, 1, 4)</f>
        <v>25569.3125</v>
      </c>
      <c r="B1169" s="6">
        <v>51.09</v>
      </c>
    </row>
    <row x14ac:dyDescent="0.25" r="1170" customHeight="1" ht="18.75">
      <c r="A1170" s="5">
        <f>DATE(2021, 1, 1)</f>
        <v>25569.3125</v>
      </c>
      <c r="B1170" s="6">
        <v>51.8</v>
      </c>
    </row>
    <row x14ac:dyDescent="0.25" r="1171" customHeight="1" ht="18.75">
      <c r="A1171" s="5">
        <f>DATE(2020, 12, 31)</f>
        <v>25569.3125</v>
      </c>
      <c r="B1171" s="6">
        <v>51.8</v>
      </c>
    </row>
    <row x14ac:dyDescent="0.25" r="1172" customHeight="1" ht="18.75">
      <c r="A1172" s="5">
        <f>DATE(2020, 12, 30)</f>
        <v>25569.3125</v>
      </c>
      <c r="B1172" s="6">
        <v>51.34</v>
      </c>
    </row>
    <row x14ac:dyDescent="0.25" r="1173" customHeight="1" ht="18.75">
      <c r="A1173" s="5">
        <f>DATE(2020, 12, 29)</f>
        <v>25569.3125</v>
      </c>
      <c r="B1173" s="6">
        <v>51.09</v>
      </c>
    </row>
    <row x14ac:dyDescent="0.25" r="1174" customHeight="1" ht="18.75">
      <c r="A1174" s="5">
        <f>DATE(2020, 12, 28)</f>
        <v>25569.3125</v>
      </c>
      <c r="B1174" s="6">
        <v>50.86</v>
      </c>
    </row>
    <row x14ac:dyDescent="0.25" r="1175" customHeight="1" ht="18.75">
      <c r="A1175" s="5">
        <f>DATE(2020, 12, 25)</f>
        <v>25569.3125</v>
      </c>
      <c r="B1175" s="6">
        <v>51.29</v>
      </c>
    </row>
    <row x14ac:dyDescent="0.25" r="1176" customHeight="1" ht="18.75">
      <c r="A1176" s="5">
        <f>DATE(2020, 12, 24)</f>
        <v>25569.3125</v>
      </c>
      <c r="B1176" s="6">
        <v>51.29</v>
      </c>
    </row>
    <row x14ac:dyDescent="0.25" r="1177" customHeight="1" ht="18.75">
      <c r="A1177" s="5">
        <f>DATE(2020, 12, 23)</f>
        <v>25569.3125</v>
      </c>
      <c r="B1177" s="6">
        <v>51.2</v>
      </c>
    </row>
    <row x14ac:dyDescent="0.25" r="1178" customHeight="1" ht="18.75">
      <c r="A1178" s="5">
        <f>DATE(2020, 12, 22)</f>
        <v>25569.3125</v>
      </c>
      <c r="B1178" s="6">
        <v>50.08</v>
      </c>
    </row>
    <row x14ac:dyDescent="0.25" r="1179" customHeight="1" ht="18.75">
      <c r="A1179" s="5">
        <f>DATE(2020, 12, 21)</f>
        <v>25569.3125</v>
      </c>
      <c r="B1179" s="6">
        <v>50.91</v>
      </c>
    </row>
    <row x14ac:dyDescent="0.25" r="1180" customHeight="1" ht="18.75">
      <c r="A1180" s="5">
        <f>DATE(2020, 12, 18)</f>
        <v>25569.3125</v>
      </c>
      <c r="B1180" s="6">
        <v>52.26</v>
      </c>
    </row>
    <row x14ac:dyDescent="0.25" r="1181" customHeight="1" ht="18.75">
      <c r="A1181" s="5">
        <f>DATE(2020, 12, 17)</f>
        <v>25569.3125</v>
      </c>
      <c r="B1181" s="6">
        <v>51.5</v>
      </c>
    </row>
    <row x14ac:dyDescent="0.25" r="1182" customHeight="1" ht="18.75">
      <c r="A1182" s="5">
        <f>DATE(2020, 12, 16)</f>
        <v>25569.3125</v>
      </c>
      <c r="B1182" s="6">
        <v>51.08</v>
      </c>
    </row>
    <row x14ac:dyDescent="0.25" r="1183" customHeight="1" ht="18.75">
      <c r="A1183" s="5">
        <f>DATE(2020, 12, 15)</f>
        <v>25569.3125</v>
      </c>
      <c r="B1183" s="6">
        <v>50.76</v>
      </c>
    </row>
    <row x14ac:dyDescent="0.25" r="1184" customHeight="1" ht="18.75">
      <c r="A1184" s="5">
        <f>DATE(2020, 12, 14)</f>
        <v>25569.3125</v>
      </c>
      <c r="B1184" s="6">
        <v>50.29</v>
      </c>
    </row>
    <row x14ac:dyDescent="0.25" r="1185" customHeight="1" ht="18.75">
      <c r="A1185" s="5">
        <f>DATE(2020, 12, 11)</f>
        <v>25569.3125</v>
      </c>
      <c r="B1185" s="6">
        <v>49.97</v>
      </c>
    </row>
    <row x14ac:dyDescent="0.25" r="1186" customHeight="1" ht="18.75">
      <c r="A1186" s="5">
        <f>DATE(2020, 12, 10)</f>
        <v>25569.3125</v>
      </c>
      <c r="B1186" s="6">
        <v>50.25</v>
      </c>
    </row>
    <row x14ac:dyDescent="0.25" r="1187" customHeight="1" ht="18.75">
      <c r="A1187" s="5">
        <f>DATE(2020, 12, 9)</f>
        <v>25569.3125</v>
      </c>
      <c r="B1187" s="6">
        <v>48.86</v>
      </c>
    </row>
    <row x14ac:dyDescent="0.25" r="1188" customHeight="1" ht="18.75">
      <c r="A1188" s="5">
        <f>DATE(2020, 12, 8)</f>
        <v>25569.3125</v>
      </c>
      <c r="B1188" s="6">
        <v>48.84</v>
      </c>
    </row>
    <row x14ac:dyDescent="0.25" r="1189" customHeight="1" ht="18.75">
      <c r="A1189" s="5">
        <f>DATE(2020, 12, 7)</f>
        <v>25569.3125</v>
      </c>
      <c r="B1189" s="6">
        <v>48.79</v>
      </c>
    </row>
    <row x14ac:dyDescent="0.25" r="1190" customHeight="1" ht="18.75">
      <c r="A1190" s="5">
        <f>DATE(2020, 12, 4)</f>
        <v>25569.3125</v>
      </c>
      <c r="B1190" s="6">
        <v>49.25</v>
      </c>
    </row>
    <row x14ac:dyDescent="0.25" r="1191" customHeight="1" ht="18.75">
      <c r="A1191" s="5">
        <f>DATE(2020, 12, 3)</f>
        <v>25569.3125</v>
      </c>
      <c r="B1191" s="6">
        <v>48.71</v>
      </c>
    </row>
    <row x14ac:dyDescent="0.25" r="1192" customHeight="1" ht="18.75">
      <c r="A1192" s="5">
        <f>DATE(2020, 12, 2)</f>
        <v>25569.3125</v>
      </c>
      <c r="B1192" s="6">
        <v>48.25</v>
      </c>
    </row>
    <row x14ac:dyDescent="0.25" r="1193" customHeight="1" ht="18.75">
      <c r="A1193" s="5">
        <f>DATE(2020, 12, 1)</f>
        <v>25569.3125</v>
      </c>
      <c r="B1193" s="6">
        <v>47.42</v>
      </c>
    </row>
    <row x14ac:dyDescent="0.25" r="1194" customHeight="1" ht="18.75">
      <c r="A1194" s="5">
        <f>DATE(2020, 11, 30)</f>
        <v>25569.3125</v>
      </c>
      <c r="B1194" s="6">
        <v>47.59</v>
      </c>
    </row>
    <row x14ac:dyDescent="0.25" r="1195" customHeight="1" ht="18.75">
      <c r="A1195" s="5">
        <f>DATE(2020, 11, 27)</f>
        <v>25569.3125</v>
      </c>
      <c r="B1195" s="6">
        <v>48.18</v>
      </c>
    </row>
    <row x14ac:dyDescent="0.25" r="1196" customHeight="1" ht="18.75">
      <c r="A1196" s="5">
        <f>DATE(2020, 11, 26)</f>
        <v>25569.3125</v>
      </c>
      <c r="B1196" s="6">
        <v>47.8</v>
      </c>
    </row>
    <row x14ac:dyDescent="0.25" r="1197" customHeight="1" ht="18.75">
      <c r="A1197" s="5">
        <f>DATE(2020, 11, 25)</f>
        <v>25569.3125</v>
      </c>
      <c r="B1197" s="6">
        <v>48.61</v>
      </c>
    </row>
    <row x14ac:dyDescent="0.25" r="1198" customHeight="1" ht="18.75">
      <c r="A1198" s="5">
        <f>DATE(2020, 11, 24)</f>
        <v>25569.3125</v>
      </c>
      <c r="B1198" s="6">
        <v>47.86</v>
      </c>
    </row>
    <row x14ac:dyDescent="0.25" r="1199" customHeight="1" ht="18.75">
      <c r="A1199" s="5">
        <f>DATE(2020, 11, 23)</f>
        <v>25569.3125</v>
      </c>
      <c r="B1199" s="6">
        <v>46.06</v>
      </c>
    </row>
    <row x14ac:dyDescent="0.25" r="1200" customHeight="1" ht="18.75">
      <c r="A1200" s="5">
        <f>DATE(2020, 11, 20)</f>
        <v>25569.3125</v>
      </c>
      <c r="B1200" s="6">
        <v>44.96</v>
      </c>
    </row>
    <row x14ac:dyDescent="0.25" r="1201" customHeight="1" ht="18.75">
      <c r="A1201" s="5">
        <f>DATE(2020, 11, 19)</f>
        <v>25569.3125</v>
      </c>
      <c r="B1201" s="6">
        <v>44.2</v>
      </c>
    </row>
    <row x14ac:dyDescent="0.25" r="1202" customHeight="1" ht="18.75">
      <c r="A1202" s="5">
        <f>DATE(2020, 11, 18)</f>
        <v>25569.3125</v>
      </c>
      <c r="B1202" s="6">
        <v>44.34</v>
      </c>
    </row>
    <row x14ac:dyDescent="0.25" r="1203" customHeight="1" ht="18.75">
      <c r="A1203" s="5">
        <f>DATE(2020, 11, 17)</f>
        <v>25569.3125</v>
      </c>
      <c r="B1203" s="6">
        <v>43.75</v>
      </c>
    </row>
    <row x14ac:dyDescent="0.25" r="1204" customHeight="1" ht="18.75">
      <c r="A1204" s="5">
        <f>DATE(2020, 11, 16)</f>
        <v>25569.3125</v>
      </c>
      <c r="B1204" s="6">
        <v>43.82</v>
      </c>
    </row>
    <row x14ac:dyDescent="0.25" r="1205" customHeight="1" ht="18.75">
      <c r="A1205" s="5">
        <f>DATE(2020, 11, 13)</f>
        <v>25569.3125</v>
      </c>
      <c r="B1205" s="6">
        <v>42.78</v>
      </c>
    </row>
    <row x14ac:dyDescent="0.25" r="1206" customHeight="1" ht="18.75">
      <c r="A1206" s="5">
        <f>DATE(2020, 11, 12)</f>
        <v>25569.3125</v>
      </c>
      <c r="B1206" s="6">
        <v>43.53</v>
      </c>
    </row>
    <row x14ac:dyDescent="0.25" r="1207" customHeight="1" ht="18.75">
      <c r="A1207" s="5">
        <f>DATE(2020, 11, 11)</f>
        <v>25569.3125</v>
      </c>
      <c r="B1207" s="6">
        <v>43.8</v>
      </c>
    </row>
    <row x14ac:dyDescent="0.25" r="1208" customHeight="1" ht="18.75">
      <c r="A1208" s="5">
        <f>DATE(2020, 11, 10)</f>
        <v>25569.3125</v>
      </c>
      <c r="B1208" s="6">
        <v>43.61</v>
      </c>
    </row>
    <row x14ac:dyDescent="0.25" r="1209" customHeight="1" ht="18.75">
      <c r="A1209" s="5">
        <f>DATE(2020, 11, 9)</f>
        <v>25569.3125</v>
      </c>
      <c r="B1209" s="6">
        <v>42.4</v>
      </c>
    </row>
    <row x14ac:dyDescent="0.25" r="1210" customHeight="1" ht="18.75">
      <c r="A1210" s="5">
        <f>DATE(2020, 11, 6)</f>
        <v>25569.3125</v>
      </c>
      <c r="B1210" s="6">
        <v>39.45</v>
      </c>
    </row>
    <row x14ac:dyDescent="0.25" r="1211" customHeight="1" ht="18.75">
      <c r="A1211" s="5">
        <f>DATE(2020, 11, 5)</f>
        <v>25569.3125</v>
      </c>
      <c r="B1211" s="6">
        <v>40.93</v>
      </c>
    </row>
    <row x14ac:dyDescent="0.25" r="1212" customHeight="1" ht="18.75">
      <c r="A1212" s="5">
        <f>DATE(2020, 11, 4)</f>
        <v>25569.3125</v>
      </c>
      <c r="B1212" s="6">
        <v>41.23</v>
      </c>
    </row>
    <row x14ac:dyDescent="0.25" r="1213" customHeight="1" ht="18.75">
      <c r="A1213" s="5">
        <f>DATE(2020, 11, 3)</f>
        <v>25569.3125</v>
      </c>
      <c r="B1213" s="6">
        <v>39.71</v>
      </c>
    </row>
    <row x14ac:dyDescent="0.25" r="1214" customHeight="1" ht="18.75">
      <c r="A1214" s="5">
        <f>DATE(2020, 11, 2)</f>
        <v>25569.3125</v>
      </c>
      <c r="B1214" s="6">
        <v>38.97</v>
      </c>
    </row>
    <row x14ac:dyDescent="0.25" r="1215" customHeight="1" ht="18.75">
      <c r="A1215" s="5">
        <f>DATE(2020, 10, 30)</f>
        <v>25569.3125</v>
      </c>
      <c r="B1215" s="6">
        <v>37.46</v>
      </c>
    </row>
    <row x14ac:dyDescent="0.25" r="1216" customHeight="1" ht="18.75">
      <c r="A1216" s="5">
        <f>DATE(2020, 10, 29)</f>
        <v>25569.3125</v>
      </c>
      <c r="B1216" s="6">
        <v>37.65</v>
      </c>
    </row>
    <row x14ac:dyDescent="0.25" r="1217" customHeight="1" ht="18.75">
      <c r="A1217" s="5">
        <f>DATE(2020, 10, 28)</f>
        <v>25569.3125</v>
      </c>
      <c r="B1217" s="6">
        <v>39.12</v>
      </c>
    </row>
    <row x14ac:dyDescent="0.25" r="1218" customHeight="1" ht="18.75">
      <c r="A1218" s="5">
        <f>DATE(2020, 10, 27)</f>
        <v>25569.3125</v>
      </c>
      <c r="B1218" s="6">
        <v>41.2</v>
      </c>
    </row>
    <row x14ac:dyDescent="0.25" r="1219" customHeight="1" ht="18.75">
      <c r="A1219" s="5">
        <f>DATE(2020, 10, 26)</f>
        <v>25569.3125</v>
      </c>
      <c r="B1219" s="6">
        <v>40.46</v>
      </c>
    </row>
    <row x14ac:dyDescent="0.25" r="1220" customHeight="1" ht="18.75">
      <c r="A1220" s="5">
        <f>DATE(2020, 10, 23)</f>
        <v>25569.3125</v>
      </c>
      <c r="B1220" s="6">
        <v>41.77</v>
      </c>
    </row>
    <row x14ac:dyDescent="0.25" r="1221" customHeight="1" ht="18.75">
      <c r="A1221" s="5">
        <f>DATE(2020, 10, 22)</f>
        <v>25569.3125</v>
      </c>
      <c r="B1221" s="6">
        <v>42.46</v>
      </c>
    </row>
    <row x14ac:dyDescent="0.25" r="1222" customHeight="1" ht="18.75">
      <c r="A1222" s="5">
        <f>DATE(2020, 10, 21)</f>
        <v>25569.3125</v>
      </c>
      <c r="B1222" s="6">
        <v>41.73</v>
      </c>
    </row>
    <row x14ac:dyDescent="0.25" r="1223" customHeight="1" ht="18.75">
      <c r="A1223" s="5">
        <f>DATE(2020, 10, 20)</f>
        <v>25569.3125</v>
      </c>
      <c r="B1223" s="6">
        <v>43.16</v>
      </c>
    </row>
    <row x14ac:dyDescent="0.25" r="1224" customHeight="1" ht="18.75">
      <c r="A1224" s="5">
        <f>DATE(2020, 10, 19)</f>
        <v>25569.3125</v>
      </c>
      <c r="B1224" s="6">
        <v>42.62</v>
      </c>
    </row>
    <row x14ac:dyDescent="0.25" r="1225" customHeight="1" ht="18.75">
      <c r="A1225" s="5">
        <f>DATE(2020, 10, 16)</f>
        <v>25569.3125</v>
      </c>
      <c r="B1225" s="6">
        <v>42.93</v>
      </c>
    </row>
    <row x14ac:dyDescent="0.25" r="1226" customHeight="1" ht="18.75">
      <c r="A1226" s="5">
        <f>DATE(2020, 10, 15)</f>
        <v>25569.3125</v>
      </c>
      <c r="B1226" s="6">
        <v>43.16</v>
      </c>
    </row>
    <row x14ac:dyDescent="0.25" r="1227" customHeight="1" ht="18.75">
      <c r="A1227" s="5">
        <f>DATE(2020, 10, 14)</f>
        <v>25569.3125</v>
      </c>
      <c r="B1227" s="6">
        <v>43.32</v>
      </c>
    </row>
    <row x14ac:dyDescent="0.25" r="1228" customHeight="1" ht="18.75">
      <c r="A1228" s="5">
        <f>DATE(2020, 10, 13)</f>
        <v>25569.3125</v>
      </c>
      <c r="B1228" s="6">
        <v>42.45</v>
      </c>
    </row>
    <row x14ac:dyDescent="0.25" r="1229" customHeight="1" ht="18.75">
      <c r="A1229" s="5">
        <f>DATE(2020, 10, 12)</f>
        <v>25569.3125</v>
      </c>
      <c r="B1229" s="6">
        <v>41.72</v>
      </c>
    </row>
    <row x14ac:dyDescent="0.25" r="1230" customHeight="1" ht="18.75">
      <c r="A1230" s="5">
        <f>DATE(2020, 10, 9)</f>
        <v>25569.3125</v>
      </c>
      <c r="B1230" s="6">
        <v>42.85</v>
      </c>
    </row>
    <row x14ac:dyDescent="0.25" r="1231" customHeight="1" ht="18.75">
      <c r="A1231" s="5">
        <f>DATE(2020, 10, 8)</f>
        <v>25569.3125</v>
      </c>
      <c r="B1231" s="6">
        <v>43.34</v>
      </c>
    </row>
    <row x14ac:dyDescent="0.25" r="1232" customHeight="1" ht="18.75">
      <c r="A1232" s="5">
        <f>DATE(2020, 10, 7)</f>
        <v>25569.3125</v>
      </c>
      <c r="B1232" s="6">
        <v>41.99</v>
      </c>
    </row>
    <row x14ac:dyDescent="0.25" r="1233" customHeight="1" ht="18.75">
      <c r="A1233" s="5">
        <f>DATE(2020, 10, 6)</f>
        <v>25569.3125</v>
      </c>
      <c r="B1233" s="6">
        <v>42.65</v>
      </c>
    </row>
    <row x14ac:dyDescent="0.25" r="1234" customHeight="1" ht="18.75">
      <c r="A1234" s="5">
        <f>DATE(2020, 10, 5)</f>
        <v>25569.3125</v>
      </c>
      <c r="B1234" s="6">
        <v>41.29</v>
      </c>
    </row>
    <row x14ac:dyDescent="0.25" r="1235" customHeight="1" ht="18.75">
      <c r="A1235" s="5">
        <f>DATE(2020, 10, 2)</f>
        <v>25569.3125</v>
      </c>
      <c r="B1235" s="6">
        <v>39.27</v>
      </c>
    </row>
    <row x14ac:dyDescent="0.25" r="1236" customHeight="1" ht="18.75">
      <c r="A1236" s="5">
        <f>DATE(2020, 10, 1)</f>
        <v>25569.3125</v>
      </c>
      <c r="B1236" s="6">
        <v>40.93</v>
      </c>
    </row>
    <row x14ac:dyDescent="0.25" r="1237" customHeight="1" ht="18.75">
      <c r="A1237" s="5">
        <f>DATE(2020, 9, 30)</f>
        <v>25569.3125</v>
      </c>
      <c r="B1237" s="6">
        <v>40.95</v>
      </c>
    </row>
    <row x14ac:dyDescent="0.25" r="1238" customHeight="1" ht="18.75">
      <c r="A1238" s="5">
        <f>DATE(2020, 9, 29)</f>
        <v>25569.3125</v>
      </c>
      <c r="B1238" s="6">
        <v>41.03</v>
      </c>
    </row>
    <row x14ac:dyDescent="0.25" r="1239" customHeight="1" ht="18.75">
      <c r="A1239" s="5">
        <f>DATE(2020, 9, 28)</f>
        <v>25569.3125</v>
      </c>
      <c r="B1239" s="6">
        <v>42.43</v>
      </c>
    </row>
    <row x14ac:dyDescent="0.25" r="1240" customHeight="1" ht="18.75">
      <c r="A1240" s="5">
        <f>DATE(2020, 9, 25)</f>
        <v>25569.3125</v>
      </c>
      <c r="B1240" s="6">
        <v>41.92</v>
      </c>
    </row>
    <row x14ac:dyDescent="0.25" r="1241" customHeight="1" ht="18.75">
      <c r="A1241" s="5">
        <f>DATE(2020, 9, 24)</f>
        <v>25569.3125</v>
      </c>
      <c r="B1241" s="6">
        <v>41.94</v>
      </c>
    </row>
    <row x14ac:dyDescent="0.25" r="1242" customHeight="1" ht="18.75">
      <c r="A1242" s="5">
        <f>DATE(2020, 9, 23)</f>
        <v>25569.3125</v>
      </c>
      <c r="B1242" s="6">
        <v>41.77</v>
      </c>
    </row>
    <row x14ac:dyDescent="0.25" r="1243" customHeight="1" ht="18.75">
      <c r="A1243" s="5">
        <f>DATE(2020, 9, 22)</f>
        <v>25569.3125</v>
      </c>
      <c r="B1243" s="6">
        <v>41.72</v>
      </c>
    </row>
    <row x14ac:dyDescent="0.25" r="1244" customHeight="1" ht="18.75">
      <c r="A1244" s="5">
        <f>DATE(2020, 9, 21)</f>
        <v>25569.3125</v>
      </c>
      <c r="B1244" s="6">
        <v>41.44</v>
      </c>
    </row>
    <row x14ac:dyDescent="0.25" r="1245" customHeight="1" ht="18.75">
      <c r="A1245" s="5">
        <f>DATE(2020, 9, 18)</f>
        <v>25569.3125</v>
      </c>
      <c r="B1245" s="6">
        <v>43.15</v>
      </c>
    </row>
    <row x14ac:dyDescent="0.25" r="1246" customHeight="1" ht="18.75">
      <c r="A1246" s="5">
        <f>DATE(2020, 9, 17)</f>
        <v>25569.3125</v>
      </c>
      <c r="B1246" s="6">
        <v>43.3</v>
      </c>
    </row>
    <row x14ac:dyDescent="0.25" r="1247" customHeight="1" ht="18.75">
      <c r="A1247" s="5">
        <f>DATE(2020, 9, 16)</f>
        <v>25569.3125</v>
      </c>
      <c r="B1247" s="6">
        <v>42.22</v>
      </c>
    </row>
    <row x14ac:dyDescent="0.25" r="1248" customHeight="1" ht="18.75">
      <c r="A1248" s="5">
        <f>DATE(2020, 9, 15)</f>
        <v>25569.3125</v>
      </c>
      <c r="B1248" s="6">
        <v>40.53</v>
      </c>
    </row>
    <row x14ac:dyDescent="0.25" r="1249" customHeight="1" ht="18.75">
      <c r="A1249" s="5">
        <f>DATE(2020, 9, 14)</f>
        <v>25569.3125</v>
      </c>
      <c r="B1249" s="6">
        <v>39.61</v>
      </c>
    </row>
    <row x14ac:dyDescent="0.25" r="1250" customHeight="1" ht="18.75">
      <c r="A1250" s="5">
        <f>DATE(2020, 9, 11)</f>
        <v>25569.3125</v>
      </c>
      <c r="B1250" s="6">
        <v>39.83</v>
      </c>
    </row>
    <row x14ac:dyDescent="0.25" r="1251" customHeight="1" ht="18.75">
      <c r="A1251" s="5">
        <f>DATE(2020, 9, 10)</f>
        <v>25569.3125</v>
      </c>
      <c r="B1251" s="6">
        <v>40.06</v>
      </c>
    </row>
    <row x14ac:dyDescent="0.25" r="1252" customHeight="1" ht="18.75">
      <c r="A1252" s="5">
        <f>DATE(2020, 9, 9)</f>
        <v>25569.3125</v>
      </c>
      <c r="B1252" s="6">
        <v>40.79</v>
      </c>
    </row>
    <row x14ac:dyDescent="0.25" r="1253" customHeight="1" ht="18.75">
      <c r="A1253" s="5">
        <f>DATE(2020, 9, 8)</f>
        <v>25569.3125</v>
      </c>
      <c r="B1253" s="6">
        <v>39.78</v>
      </c>
    </row>
    <row x14ac:dyDescent="0.25" r="1254" customHeight="1" ht="18.75">
      <c r="A1254" s="5">
        <f>DATE(2020, 9, 7)</f>
        <v>25569.3125</v>
      </c>
      <c r="B1254" s="6">
        <v>42.01</v>
      </c>
    </row>
    <row x14ac:dyDescent="0.25" r="1255" customHeight="1" ht="18.75">
      <c r="A1255" s="5">
        <f>DATE(2020, 9, 4)</f>
        <v>25569.3125</v>
      </c>
      <c r="B1255" s="6">
        <v>42.66</v>
      </c>
    </row>
    <row x14ac:dyDescent="0.25" r="1256" customHeight="1" ht="18.75">
      <c r="A1256" s="5">
        <f>DATE(2020, 9, 3)</f>
        <v>25569.3125</v>
      </c>
      <c r="B1256" s="6">
        <v>44.07</v>
      </c>
    </row>
    <row x14ac:dyDescent="0.25" r="1257" customHeight="1" ht="18.75">
      <c r="A1257" s="5">
        <f>DATE(2020, 9, 2)</f>
        <v>25569.3125</v>
      </c>
      <c r="B1257" s="6">
        <v>44.43</v>
      </c>
    </row>
    <row x14ac:dyDescent="0.25" r="1258" customHeight="1" ht="18.75">
      <c r="A1258" s="5">
        <f>DATE(2020, 9, 1)</f>
        <v>25569.3125</v>
      </c>
      <c r="B1258" s="6">
        <v>45.58</v>
      </c>
    </row>
    <row x14ac:dyDescent="0.25" r="1259" customHeight="1" ht="18.75">
      <c r="A1259" s="5">
        <f>DATE(2020, 8, 31)</f>
        <v>25569.3125</v>
      </c>
      <c r="B1259" s="6">
        <v>45.28</v>
      </c>
    </row>
    <row x14ac:dyDescent="0.25" r="1260" customHeight="1" ht="18.75">
      <c r="A1260" s="5">
        <f>DATE(2020, 8, 28)</f>
        <v>25569.3125</v>
      </c>
      <c r="B1260" s="6">
        <v>45.05</v>
      </c>
    </row>
    <row x14ac:dyDescent="0.25" r="1261" customHeight="1" ht="18.75">
      <c r="A1261" s="5">
        <f>DATE(2020, 8, 27)</f>
        <v>25569.3125</v>
      </c>
      <c r="B1261" s="6">
        <v>45.09</v>
      </c>
    </row>
    <row x14ac:dyDescent="0.25" r="1262" customHeight="1" ht="18.75">
      <c r="A1262" s="5">
        <f>DATE(2020, 8, 26)</f>
        <v>25569.3125</v>
      </c>
      <c r="B1262" s="6">
        <v>45.64</v>
      </c>
    </row>
    <row x14ac:dyDescent="0.25" r="1263" customHeight="1" ht="18.75">
      <c r="A1263" s="5">
        <f>DATE(2020, 8, 25)</f>
        <v>25569.3125</v>
      </c>
      <c r="B1263" s="6">
        <v>45.86</v>
      </c>
    </row>
    <row x14ac:dyDescent="0.25" r="1264" customHeight="1" ht="18.75">
      <c r="A1264" s="5">
        <f>DATE(2020, 8, 24)</f>
        <v>25569.3125</v>
      </c>
      <c r="B1264" s="6">
        <v>45.13</v>
      </c>
    </row>
    <row x14ac:dyDescent="0.25" r="1265" customHeight="1" ht="18.75">
      <c r="A1265" s="5">
        <f>DATE(2020, 8, 21)</f>
        <v>25569.3125</v>
      </c>
      <c r="B1265" s="6">
        <v>44.35</v>
      </c>
    </row>
    <row x14ac:dyDescent="0.25" r="1266" customHeight="1" ht="18.75">
      <c r="A1266" s="5">
        <f>DATE(2020, 8, 20)</f>
        <v>25569.3125</v>
      </c>
      <c r="B1266" s="6">
        <v>44.9</v>
      </c>
    </row>
    <row x14ac:dyDescent="0.25" r="1267" customHeight="1" ht="18.75">
      <c r="A1267" s="5">
        <f>DATE(2020, 8, 19)</f>
        <v>25569.3125</v>
      </c>
      <c r="B1267" s="6">
        <v>45.37</v>
      </c>
    </row>
    <row x14ac:dyDescent="0.25" r="1268" customHeight="1" ht="18.75">
      <c r="A1268" s="5">
        <f>DATE(2020, 8, 18)</f>
        <v>25569.3125</v>
      </c>
      <c r="B1268" s="6">
        <v>45.46</v>
      </c>
    </row>
    <row x14ac:dyDescent="0.25" r="1269" customHeight="1" ht="18.75">
      <c r="A1269" s="5">
        <f>DATE(2020, 8, 17)</f>
        <v>25569.3125</v>
      </c>
      <c r="B1269" s="6">
        <v>45.37</v>
      </c>
    </row>
    <row x14ac:dyDescent="0.25" r="1270" customHeight="1" ht="18.75">
      <c r="A1270" s="5">
        <f>DATE(2020, 8, 14)</f>
        <v>25569.3125</v>
      </c>
      <c r="B1270" s="6">
        <v>44.8</v>
      </c>
    </row>
    <row x14ac:dyDescent="0.25" r="1271" customHeight="1" ht="18.75">
      <c r="A1271" s="5">
        <f>DATE(2020, 8, 13)</f>
        <v>25569.3125</v>
      </c>
      <c r="B1271" s="6">
        <v>44.96</v>
      </c>
    </row>
    <row x14ac:dyDescent="0.25" r="1272" customHeight="1" ht="18.75">
      <c r="A1272" s="5">
        <f>DATE(2020, 8, 12)</f>
        <v>25569.3125</v>
      </c>
      <c r="B1272" s="6">
        <v>45.43</v>
      </c>
    </row>
    <row x14ac:dyDescent="0.25" r="1273" customHeight="1" ht="18.75">
      <c r="A1273" s="5">
        <f>DATE(2020, 8, 11)</f>
        <v>25569.3125</v>
      </c>
      <c r="B1273" s="6">
        <v>44.5</v>
      </c>
    </row>
    <row x14ac:dyDescent="0.25" r="1274" customHeight="1" ht="18.75">
      <c r="A1274" s="5">
        <f>DATE(2020, 8, 10)</f>
        <v>25569.3125</v>
      </c>
      <c r="B1274" s="6">
        <v>44.99</v>
      </c>
    </row>
    <row x14ac:dyDescent="0.25" r="1275" customHeight="1" ht="18.75">
      <c r="A1275" s="5">
        <f>DATE(2020, 8, 7)</f>
        <v>25569.3125</v>
      </c>
      <c r="B1275" s="6">
        <v>44.4</v>
      </c>
    </row>
    <row x14ac:dyDescent="0.25" r="1276" customHeight="1" ht="18.75">
      <c r="A1276" s="5">
        <f>DATE(2020, 8, 6)</f>
        <v>25569.3125</v>
      </c>
      <c r="B1276" s="6">
        <v>45.09</v>
      </c>
    </row>
    <row x14ac:dyDescent="0.25" r="1277" customHeight="1" ht="18.75">
      <c r="A1277" s="5">
        <f>DATE(2020, 8, 5)</f>
        <v>25569.3125</v>
      </c>
      <c r="B1277" s="6">
        <v>45.17</v>
      </c>
    </row>
    <row x14ac:dyDescent="0.25" r="1278" customHeight="1" ht="18.75">
      <c r="A1278" s="5">
        <f>DATE(2020, 8, 4)</f>
        <v>25569.3125</v>
      </c>
      <c r="B1278" s="6">
        <v>44.43</v>
      </c>
    </row>
    <row x14ac:dyDescent="0.25" r="1279" customHeight="1" ht="18.75">
      <c r="A1279" s="5">
        <f>DATE(2020, 8, 3)</f>
        <v>25569.3125</v>
      </c>
      <c r="B1279" s="6">
        <v>44.15</v>
      </c>
    </row>
    <row x14ac:dyDescent="0.25" r="1280" customHeight="1" ht="18.75">
      <c r="A1280" s="5">
        <f>DATE(2020, 7, 31)</f>
        <v>25569.3125</v>
      </c>
      <c r="B1280" s="6">
        <v>43.3</v>
      </c>
    </row>
    <row x14ac:dyDescent="0.25" r="1281" customHeight="1" ht="18.75">
      <c r="A1281" s="5">
        <f>DATE(2020, 7, 30)</f>
        <v>25569.3125</v>
      </c>
      <c r="B1281" s="6">
        <v>42.94</v>
      </c>
    </row>
    <row x14ac:dyDescent="0.25" r="1282" customHeight="1" ht="18.75">
      <c r="A1282" s="5">
        <f>DATE(2020, 7, 29)</f>
        <v>25569.3125</v>
      </c>
      <c r="B1282" s="6">
        <v>43.75</v>
      </c>
    </row>
    <row x14ac:dyDescent="0.25" r="1283" customHeight="1" ht="18.75">
      <c r="A1283" s="5">
        <f>DATE(2020, 7, 28)</f>
        <v>25569.3125</v>
      </c>
      <c r="B1283" s="6">
        <v>43.22</v>
      </c>
    </row>
    <row x14ac:dyDescent="0.25" r="1284" customHeight="1" ht="18.75">
      <c r="A1284" s="5">
        <f>DATE(2020, 7, 27)</f>
        <v>25569.3125</v>
      </c>
      <c r="B1284" s="6">
        <v>43.41</v>
      </c>
    </row>
    <row x14ac:dyDescent="0.25" r="1285" customHeight="1" ht="18.75">
      <c r="A1285" s="5">
        <f>DATE(2020, 7, 24)</f>
        <v>25569.3125</v>
      </c>
      <c r="B1285" s="6">
        <v>43.34</v>
      </c>
    </row>
    <row x14ac:dyDescent="0.25" r="1286" customHeight="1" ht="18.75">
      <c r="A1286" s="5">
        <f>DATE(2020, 7, 23)</f>
        <v>25569.3125</v>
      </c>
      <c r="B1286" s="6">
        <v>43.31</v>
      </c>
    </row>
    <row x14ac:dyDescent="0.25" r="1287" customHeight="1" ht="18.75">
      <c r="A1287" s="5">
        <f>DATE(2020, 7, 22)</f>
        <v>25569.3125</v>
      </c>
      <c r="B1287" s="6">
        <v>44.29</v>
      </c>
    </row>
    <row x14ac:dyDescent="0.25" r="1288" customHeight="1" ht="18.75">
      <c r="A1288" s="5">
        <f>DATE(2020, 7, 21)</f>
        <v>25569.3125</v>
      </c>
      <c r="B1288" s="6">
        <v>44.32</v>
      </c>
    </row>
    <row x14ac:dyDescent="0.25" r="1289" customHeight="1" ht="18.75">
      <c r="A1289" s="5">
        <f>DATE(2020, 7, 20)</f>
        <v>25569.3125</v>
      </c>
      <c r="B1289" s="6">
        <v>43.28</v>
      </c>
    </row>
    <row x14ac:dyDescent="0.25" r="1290" customHeight="1" ht="18.75">
      <c r="A1290" s="5">
        <f>DATE(2020, 7, 17)</f>
        <v>25569.3125</v>
      </c>
      <c r="B1290" s="6">
        <v>43.14</v>
      </c>
    </row>
    <row x14ac:dyDescent="0.25" r="1291" customHeight="1" ht="18.75">
      <c r="A1291" s="5">
        <f>DATE(2020, 7, 16)</f>
        <v>25569.3125</v>
      </c>
      <c r="B1291" s="6">
        <v>43.37</v>
      </c>
    </row>
    <row x14ac:dyDescent="0.25" r="1292" customHeight="1" ht="18.75">
      <c r="A1292" s="5">
        <f>DATE(2020, 7, 15)</f>
        <v>25569.3125</v>
      </c>
      <c r="B1292" s="6">
        <v>43.79</v>
      </c>
    </row>
    <row x14ac:dyDescent="0.25" r="1293" customHeight="1" ht="18.75">
      <c r="A1293" s="5">
        <f>DATE(2020, 7, 14)</f>
        <v>25569.3125</v>
      </c>
      <c r="B1293" s="6">
        <v>42.9</v>
      </c>
    </row>
    <row x14ac:dyDescent="0.25" r="1294" customHeight="1" ht="18.75">
      <c r="A1294" s="5">
        <f>DATE(2020, 7, 13)</f>
        <v>25569.3125</v>
      </c>
      <c r="B1294" s="6">
        <v>42.72</v>
      </c>
    </row>
    <row x14ac:dyDescent="0.25" r="1295" customHeight="1" ht="18.75">
      <c r="A1295" s="5">
        <f>DATE(2020, 7, 10)</f>
        <v>25569.3125</v>
      </c>
      <c r="B1295" s="6">
        <v>43.24</v>
      </c>
    </row>
    <row x14ac:dyDescent="0.25" r="1296" customHeight="1" ht="18.75">
      <c r="A1296" s="5">
        <f>DATE(2020, 7, 9)</f>
        <v>25569.3125</v>
      </c>
      <c r="B1296" s="6">
        <v>42.35</v>
      </c>
    </row>
    <row x14ac:dyDescent="0.25" r="1297" customHeight="1" ht="18.75">
      <c r="A1297" s="5">
        <f>DATE(2020, 7, 8)</f>
        <v>25569.3125</v>
      </c>
      <c r="B1297" s="6">
        <v>43.29</v>
      </c>
    </row>
    <row x14ac:dyDescent="0.25" r="1298" customHeight="1" ht="18.75">
      <c r="A1298" s="5">
        <f>DATE(2020, 7, 7)</f>
        <v>25569.3125</v>
      </c>
      <c r="B1298" s="6">
        <v>43.08</v>
      </c>
    </row>
    <row x14ac:dyDescent="0.25" r="1299" customHeight="1" ht="18.75">
      <c r="A1299" s="5">
        <f>DATE(2020, 7, 6)</f>
        <v>25569.3125</v>
      </c>
      <c r="B1299" s="6">
        <v>43.1</v>
      </c>
    </row>
    <row x14ac:dyDescent="0.25" r="1300" customHeight="1" ht="18.75">
      <c r="A1300" s="5">
        <f>DATE(2020, 7, 3)</f>
        <v>25569.3125</v>
      </c>
      <c r="B1300" s="6">
        <v>42.8</v>
      </c>
    </row>
    <row x14ac:dyDescent="0.25" r="1301" customHeight="1" ht="18.75">
      <c r="A1301" s="5">
        <f>DATE(2020, 7, 2)</f>
        <v>25569.3125</v>
      </c>
      <c r="B1301" s="6">
        <v>43.14</v>
      </c>
    </row>
    <row x14ac:dyDescent="0.25" r="1302" customHeight="1" ht="18.75">
      <c r="A1302" s="5">
        <f>DATE(2020, 7, 1)</f>
        <v>25569.3125</v>
      </c>
      <c r="B1302" s="6">
        <v>42.03</v>
      </c>
    </row>
    <row x14ac:dyDescent="0.25" r="1303" customHeight="1" ht="18.75">
      <c r="A1303" s="5">
        <f>DATE(2020, 6, 30)</f>
        <v>25569.3125</v>
      </c>
      <c r="B1303" s="6">
        <v>41.15</v>
      </c>
    </row>
    <row x14ac:dyDescent="0.25" r="1304" customHeight="1" ht="18.75">
      <c r="A1304" s="5">
        <f>DATE(2020, 6, 29)</f>
        <v>25569.3125</v>
      </c>
      <c r="B1304" s="6">
        <v>41.71</v>
      </c>
    </row>
    <row x14ac:dyDescent="0.25" r="1305" customHeight="1" ht="18.75">
      <c r="A1305" s="5">
        <f>DATE(2020, 6, 26)</f>
        <v>25569.3125</v>
      </c>
      <c r="B1305" s="6">
        <v>41.02</v>
      </c>
    </row>
    <row x14ac:dyDescent="0.25" r="1306" customHeight="1" ht="18.75">
      <c r="A1306" s="5">
        <f>DATE(2020, 6, 25)</f>
        <v>25569.3125</v>
      </c>
      <c r="B1306" s="6">
        <v>41.05</v>
      </c>
    </row>
    <row x14ac:dyDescent="0.25" r="1307" customHeight="1" ht="18.75">
      <c r="A1307" s="5">
        <f>DATE(2020, 6, 24)</f>
        <v>25569.3125</v>
      </c>
      <c r="B1307" s="6">
        <v>40.31</v>
      </c>
    </row>
    <row x14ac:dyDescent="0.25" r="1308" customHeight="1" ht="18.75">
      <c r="A1308" s="5">
        <f>DATE(2020, 6, 23)</f>
        <v>25569.3125</v>
      </c>
      <c r="B1308" s="6">
        <v>42.63</v>
      </c>
    </row>
    <row x14ac:dyDescent="0.25" r="1309" customHeight="1" ht="18.75">
      <c r="A1309" s="5">
        <f>DATE(2020, 6, 22)</f>
        <v>25569.3125</v>
      </c>
      <c r="B1309" s="6">
        <v>43.08</v>
      </c>
    </row>
    <row x14ac:dyDescent="0.25" r="1310" customHeight="1" ht="18.75">
      <c r="A1310" s="5">
        <f>DATE(2020, 6, 19)</f>
        <v>25569.3125</v>
      </c>
      <c r="B1310" s="6">
        <v>42.19</v>
      </c>
    </row>
    <row x14ac:dyDescent="0.25" r="1311" customHeight="1" ht="18.75">
      <c r="A1311" s="5">
        <f>DATE(2020, 6, 18)</f>
        <v>25569.3125</v>
      </c>
      <c r="B1311" s="6">
        <v>41.51</v>
      </c>
    </row>
    <row x14ac:dyDescent="0.25" r="1312" customHeight="1" ht="18.75">
      <c r="A1312" s="5">
        <f>DATE(2020, 6, 17)</f>
        <v>25569.3125</v>
      </c>
      <c r="B1312" s="6">
        <v>40.71</v>
      </c>
    </row>
    <row x14ac:dyDescent="0.25" r="1313" customHeight="1" ht="18.75">
      <c r="A1313" s="5">
        <f>DATE(2020, 6, 16)</f>
        <v>25569.3125</v>
      </c>
      <c r="B1313" s="6">
        <v>40.96</v>
      </c>
    </row>
    <row x14ac:dyDescent="0.25" r="1314" customHeight="1" ht="18.75">
      <c r="A1314" s="5">
        <f>DATE(2020, 6, 15)</f>
        <v>25569.3125</v>
      </c>
      <c r="B1314" s="6">
        <v>39.72</v>
      </c>
    </row>
    <row x14ac:dyDescent="0.25" r="1315" customHeight="1" ht="18.75">
      <c r="A1315" s="5">
        <f>DATE(2020, 6, 12)</f>
        <v>25569.3125</v>
      </c>
      <c r="B1315" s="6">
        <v>38.73</v>
      </c>
    </row>
    <row x14ac:dyDescent="0.25" r="1316" customHeight="1" ht="18.75">
      <c r="A1316" s="5">
        <f>DATE(2020, 6, 11)</f>
        <v>25569.3125</v>
      </c>
      <c r="B1316" s="6">
        <v>38.55</v>
      </c>
    </row>
    <row x14ac:dyDescent="0.25" r="1317" customHeight="1" ht="18.75">
      <c r="A1317" s="5">
        <f>DATE(2020, 6, 10)</f>
        <v>25569.3125</v>
      </c>
      <c r="B1317" s="6">
        <v>41.73</v>
      </c>
    </row>
    <row x14ac:dyDescent="0.25" r="1318" customHeight="1" ht="18.75">
      <c r="A1318" s="5">
        <f>DATE(2020, 6, 9)</f>
        <v>25569.3125</v>
      </c>
      <c r="B1318" s="6">
        <v>41.18</v>
      </c>
    </row>
    <row x14ac:dyDescent="0.25" r="1319" customHeight="1" ht="18.75">
      <c r="A1319" s="5">
        <f>DATE(2020, 6, 8)</f>
        <v>25569.3125</v>
      </c>
      <c r="B1319" s="6">
        <v>40.8</v>
      </c>
    </row>
    <row x14ac:dyDescent="0.25" r="1320" customHeight="1" ht="18.75">
      <c r="A1320" s="5">
        <f>DATE(2020, 6, 5)</f>
        <v>25569.3125</v>
      </c>
      <c r="B1320" s="6">
        <v>42.3</v>
      </c>
    </row>
    <row x14ac:dyDescent="0.25" r="1321" customHeight="1" ht="18.75">
      <c r="A1321" s="5">
        <f>DATE(2020, 6, 4)</f>
        <v>25569.3125</v>
      </c>
      <c r="B1321" s="6">
        <v>39.99</v>
      </c>
    </row>
    <row x14ac:dyDescent="0.25" r="1322" customHeight="1" ht="18.75">
      <c r="A1322" s="5">
        <f>DATE(2020, 6, 3)</f>
        <v>25569.3125</v>
      </c>
      <c r="B1322" s="6">
        <v>39.79</v>
      </c>
    </row>
    <row x14ac:dyDescent="0.25" r="1323" customHeight="1" ht="18.75">
      <c r="A1323" s="5">
        <f>DATE(2020, 6, 2)</f>
        <v>25569.3125</v>
      </c>
      <c r="B1323" s="6">
        <v>39.57</v>
      </c>
    </row>
    <row x14ac:dyDescent="0.25" r="1324" customHeight="1" ht="18.75">
      <c r="A1324" s="5">
        <f>DATE(2020, 6, 1)</f>
        <v>25569.3125</v>
      </c>
      <c r="B1324" s="6">
        <v>38.32</v>
      </c>
    </row>
    <row x14ac:dyDescent="0.25" r="1325" customHeight="1" ht="18.75">
      <c r="A1325" s="5">
        <f>DATE(2020, 5, 29)</f>
        <v>25569.3125</v>
      </c>
      <c r="B1325" s="6">
        <v>35.33</v>
      </c>
    </row>
    <row x14ac:dyDescent="0.25" r="1326" customHeight="1" ht="18.75">
      <c r="A1326" s="5">
        <f>DATE(2020, 5, 28)</f>
        <v>25569.3125</v>
      </c>
      <c r="B1326" s="6">
        <v>35.29</v>
      </c>
    </row>
    <row x14ac:dyDescent="0.25" r="1327" customHeight="1" ht="18.75">
      <c r="A1327" s="5">
        <f>DATE(2020, 5, 27)</f>
        <v>25569.3125</v>
      </c>
      <c r="B1327" s="6">
        <v>34.74</v>
      </c>
    </row>
    <row x14ac:dyDescent="0.25" r="1328" customHeight="1" ht="18.75">
      <c r="A1328" s="5">
        <f>DATE(2020, 5, 26)</f>
        <v>25569.3125</v>
      </c>
      <c r="B1328" s="6">
        <v>36.17</v>
      </c>
    </row>
    <row x14ac:dyDescent="0.25" r="1329" customHeight="1" ht="18.75">
      <c r="A1329" s="5">
        <f>DATE(2020, 5, 25)</f>
        <v>25569.3125</v>
      </c>
      <c r="B1329" s="6">
        <v>35.53</v>
      </c>
    </row>
    <row x14ac:dyDescent="0.25" r="1330" customHeight="1" ht="18.75">
      <c r="A1330" s="5">
        <f>DATE(2020, 5, 22)</f>
        <v>25569.3125</v>
      </c>
      <c r="B1330" s="6">
        <v>35.13</v>
      </c>
    </row>
    <row x14ac:dyDescent="0.25" r="1331" customHeight="1" ht="18.75">
      <c r="A1331" s="5">
        <f>DATE(2020, 5, 21)</f>
        <v>25569.3125</v>
      </c>
      <c r="B1331" s="6">
        <v>36.06</v>
      </c>
    </row>
    <row x14ac:dyDescent="0.25" r="1332" customHeight="1" ht="18.75">
      <c r="A1332" s="5">
        <f>DATE(2020, 5, 20)</f>
        <v>25569.3125</v>
      </c>
      <c r="B1332" s="6">
        <v>35.75</v>
      </c>
    </row>
    <row x14ac:dyDescent="0.25" r="1333" customHeight="1" ht="18.75">
      <c r="A1333" s="5">
        <f>DATE(2020, 5, 19)</f>
        <v>25569.3125</v>
      </c>
      <c r="B1333" s="6">
        <v>34.65</v>
      </c>
    </row>
    <row x14ac:dyDescent="0.25" r="1334" customHeight="1" ht="18.75">
      <c r="A1334" s="5">
        <f>DATE(2020, 5, 18)</f>
        <v>25569.3125</v>
      </c>
      <c r="B1334" s="6">
        <v>34.81</v>
      </c>
    </row>
    <row x14ac:dyDescent="0.25" r="1335" customHeight="1" ht="18.75">
      <c r="A1335" s="5">
        <f>DATE(2020, 5, 15)</f>
        <v>25569.3125</v>
      </c>
      <c r="B1335" s="6">
        <v>32.5</v>
      </c>
    </row>
    <row x14ac:dyDescent="0.25" r="1336" customHeight="1" ht="18.75">
      <c r="A1336" s="5">
        <f>DATE(2020, 5, 14)</f>
        <v>25569.3125</v>
      </c>
      <c r="B1336" s="6">
        <v>31.13</v>
      </c>
    </row>
    <row x14ac:dyDescent="0.25" r="1337" customHeight="1" ht="18.75">
      <c r="A1337" s="5">
        <f>DATE(2020, 5, 13)</f>
        <v>25569.3125</v>
      </c>
      <c r="B1337" s="6">
        <v>29.19</v>
      </c>
    </row>
    <row x14ac:dyDescent="0.25" r="1338" customHeight="1" ht="18.75">
      <c r="A1338" s="5">
        <f>DATE(2020, 5, 12)</f>
        <v>25569.3125</v>
      </c>
      <c r="B1338" s="6">
        <v>29.98</v>
      </c>
    </row>
    <row x14ac:dyDescent="0.25" r="1339" customHeight="1" ht="18.75">
      <c r="A1339" s="5">
        <f>DATE(2020, 5, 11)</f>
        <v>25569.3125</v>
      </c>
      <c r="B1339" s="6">
        <v>29.63</v>
      </c>
    </row>
    <row x14ac:dyDescent="0.25" r="1340" customHeight="1" ht="18.75">
      <c r="A1340" s="5">
        <f>DATE(2020, 5, 8)</f>
        <v>25569.3125</v>
      </c>
      <c r="B1340" s="6">
        <v>30.97</v>
      </c>
    </row>
    <row x14ac:dyDescent="0.25" r="1341" customHeight="1" ht="18.75">
      <c r="A1341" s="5">
        <f>DATE(2020, 5, 7)</f>
        <v>25569.3125</v>
      </c>
      <c r="B1341" s="6">
        <v>29.46</v>
      </c>
    </row>
    <row x14ac:dyDescent="0.25" r="1342" customHeight="1" ht="18.75">
      <c r="A1342" s="5">
        <f>DATE(2020, 5, 6)</f>
        <v>25569.3125</v>
      </c>
      <c r="B1342" s="6">
        <v>29.72</v>
      </c>
    </row>
    <row x14ac:dyDescent="0.25" r="1343" customHeight="1" ht="18.75">
      <c r="A1343" s="5">
        <f>DATE(2020, 5, 5)</f>
        <v>25569.3125</v>
      </c>
      <c r="B1343" s="6">
        <v>30.97</v>
      </c>
    </row>
    <row x14ac:dyDescent="0.25" r="1344" customHeight="1" ht="18.75">
      <c r="A1344" s="5">
        <f>DATE(2020, 5, 4)</f>
        <v>25569.3125</v>
      </c>
      <c r="B1344" s="6">
        <v>27.2</v>
      </c>
    </row>
    <row x14ac:dyDescent="0.25" r="1345" customHeight="1" ht="18.75">
      <c r="A1345" s="5">
        <f>DATE(2020, 5, 1)</f>
        <v>25569.3125</v>
      </c>
      <c r="B1345" s="6">
        <v>26.44</v>
      </c>
    </row>
    <row x14ac:dyDescent="0.25" r="1346" customHeight="1" ht="18.75">
      <c r="A1346" s="5">
        <f>DATE(2020, 4, 30)</f>
        <v>25569.3125</v>
      </c>
      <c r="B1346" s="6">
        <v>25.27</v>
      </c>
    </row>
    <row x14ac:dyDescent="0.25" r="1347" customHeight="1" ht="18.75">
      <c r="A1347" s="5">
        <f>DATE(2020, 4, 29)</f>
        <v>25569.3125</v>
      </c>
      <c r="B1347" s="6">
        <v>22.54</v>
      </c>
    </row>
    <row x14ac:dyDescent="0.25" r="1348" customHeight="1" ht="18.75">
      <c r="A1348" s="5">
        <f>DATE(2020, 4, 28)</f>
        <v>25569.3125</v>
      </c>
      <c r="B1348" s="6">
        <v>20.46</v>
      </c>
    </row>
    <row x14ac:dyDescent="0.25" r="1349" customHeight="1" ht="18.75">
      <c r="A1349" s="5">
        <f>DATE(2020, 4, 27)</f>
        <v>25569.3125</v>
      </c>
      <c r="B1349" s="6">
        <v>19.99</v>
      </c>
    </row>
    <row x14ac:dyDescent="0.25" r="1350" customHeight="1" ht="18.75">
      <c r="A1350" s="5">
        <f>DATE(2020, 4, 24)</f>
        <v>25569.3125</v>
      </c>
      <c r="B1350" s="6">
        <v>21.44</v>
      </c>
    </row>
    <row x14ac:dyDescent="0.25" r="1351" customHeight="1" ht="18.75">
      <c r="A1351" s="5">
        <f>DATE(2020, 4, 23)</f>
        <v>25569.3125</v>
      </c>
      <c r="B1351" s="6">
        <v>21.33</v>
      </c>
    </row>
    <row x14ac:dyDescent="0.25" r="1352" customHeight="1" ht="18.75">
      <c r="A1352" s="5">
        <f>DATE(2020, 4, 22)</f>
        <v>25569.3125</v>
      </c>
      <c r="B1352" s="6">
        <v>20.37</v>
      </c>
    </row>
    <row x14ac:dyDescent="0.25" r="1353" customHeight="1" ht="18.75">
      <c r="A1353" s="5">
        <f>DATE(2020, 4, 21)</f>
        <v>25569.3125</v>
      </c>
      <c r="B1353" s="6">
        <v>19.33</v>
      </c>
    </row>
    <row x14ac:dyDescent="0.25" r="1354" customHeight="1" ht="18.75">
      <c r="A1354" s="5">
        <f>DATE(2020, 4, 20)</f>
        <v>25569.3125</v>
      </c>
      <c r="B1354" s="6">
        <v>25.57</v>
      </c>
    </row>
    <row x14ac:dyDescent="0.25" r="1355" customHeight="1" ht="18.75">
      <c r="A1355" s="5">
        <f>DATE(2020, 4, 17)</f>
        <v>25569.3125</v>
      </c>
      <c r="B1355" s="6">
        <v>28.08</v>
      </c>
    </row>
    <row x14ac:dyDescent="0.25" r="1356" customHeight="1" ht="18.75">
      <c r="A1356" s="5">
        <f>DATE(2020, 4, 16)</f>
        <v>25569.3125</v>
      </c>
      <c r="B1356" s="6">
        <v>27.82</v>
      </c>
    </row>
    <row x14ac:dyDescent="0.25" r="1357" customHeight="1" ht="18.75">
      <c r="A1357" s="5">
        <f>DATE(2020, 4, 15)</f>
        <v>25569.3125</v>
      </c>
      <c r="B1357" s="6">
        <v>27.69</v>
      </c>
    </row>
    <row x14ac:dyDescent="0.25" r="1358" customHeight="1" ht="18.75">
      <c r="A1358" s="5">
        <f>DATE(2020, 4, 14)</f>
        <v>25569.3125</v>
      </c>
      <c r="B1358" s="6">
        <v>29.6</v>
      </c>
    </row>
    <row x14ac:dyDescent="0.25" r="1359" customHeight="1" ht="18.75">
      <c r="A1359" s="5">
        <f>DATE(2020, 4, 13)</f>
        <v>25569.3125</v>
      </c>
      <c r="B1359" s="6">
        <v>31.74</v>
      </c>
    </row>
    <row x14ac:dyDescent="0.25" r="1360" customHeight="1" ht="18.75">
      <c r="A1360" s="5">
        <f>DATE(2020, 4, 10)</f>
        <v>25569.3125</v>
      </c>
      <c r="B1360" s="6">
        <v>31.48</v>
      </c>
    </row>
    <row x14ac:dyDescent="0.25" r="1361" customHeight="1" ht="18.75">
      <c r="A1361" s="5">
        <f>DATE(2020, 4, 9)</f>
        <v>25569.3125</v>
      </c>
      <c r="B1361" s="6">
        <v>31.48</v>
      </c>
    </row>
    <row x14ac:dyDescent="0.25" r="1362" customHeight="1" ht="18.75">
      <c r="A1362" s="5">
        <f>DATE(2020, 4, 8)</f>
        <v>25569.3125</v>
      </c>
      <c r="B1362" s="6">
        <v>32.84</v>
      </c>
    </row>
    <row x14ac:dyDescent="0.25" r="1363" customHeight="1" ht="18.75">
      <c r="A1363" s="5">
        <f>DATE(2020, 4, 7)</f>
        <v>25569.3125</v>
      </c>
      <c r="B1363" s="6">
        <v>31.87</v>
      </c>
    </row>
    <row x14ac:dyDescent="0.25" r="1364" customHeight="1" ht="18.75">
      <c r="A1364" s="5">
        <f>DATE(2020, 4, 6)</f>
        <v>25569.3125</v>
      </c>
      <c r="B1364" s="6">
        <v>33.05</v>
      </c>
    </row>
    <row x14ac:dyDescent="0.25" r="1365" customHeight="1" ht="18.75">
      <c r="A1365" s="5">
        <f>DATE(2020, 4, 3)</f>
        <v>25569.3125</v>
      </c>
      <c r="B1365" s="6">
        <v>34.11</v>
      </c>
    </row>
    <row x14ac:dyDescent="0.25" r="1366" customHeight="1" ht="18.75">
      <c r="A1366" s="5">
        <f>DATE(2020, 4, 2)</f>
        <v>25569.3125</v>
      </c>
      <c r="B1366" s="6">
        <v>29.94</v>
      </c>
    </row>
    <row x14ac:dyDescent="0.25" r="1367" customHeight="1" ht="18.75">
      <c r="A1367" s="5">
        <f>DATE(2020, 4, 1)</f>
        <v>25569.3125</v>
      </c>
      <c r="B1367" s="6">
        <v>24.74</v>
      </c>
    </row>
    <row x14ac:dyDescent="0.25" r="1368" customHeight="1" ht="18.75">
      <c r="A1368" s="5">
        <f>DATE(2020, 3, 31)</f>
        <v>25569.3125</v>
      </c>
      <c r="B1368" s="6">
        <v>22.74</v>
      </c>
    </row>
    <row x14ac:dyDescent="0.25" r="1369" customHeight="1" ht="18.75">
      <c r="A1369" s="5">
        <f>DATE(2020, 3, 30)</f>
        <v>25569.3125</v>
      </c>
      <c r="B1369" s="6">
        <v>22.76</v>
      </c>
    </row>
    <row x14ac:dyDescent="0.25" r="1370" customHeight="1" ht="18.75">
      <c r="A1370" s="5">
        <f>DATE(2020, 3, 27)</f>
        <v>25569.3125</v>
      </c>
      <c r="B1370" s="6">
        <v>24.93</v>
      </c>
    </row>
    <row x14ac:dyDescent="0.25" r="1371" customHeight="1" ht="18.75">
      <c r="A1371" s="5">
        <f>DATE(2020, 3, 26)</f>
        <v>25569.3125</v>
      </c>
      <c r="B1371" s="6">
        <v>26.34</v>
      </c>
    </row>
    <row x14ac:dyDescent="0.25" r="1372" customHeight="1" ht="18.75">
      <c r="A1372" s="5">
        <f>DATE(2020, 3, 25)</f>
        <v>25569.3125</v>
      </c>
      <c r="B1372" s="6">
        <v>27.39</v>
      </c>
    </row>
    <row x14ac:dyDescent="0.25" r="1373" customHeight="1" ht="18.75">
      <c r="A1373" s="5">
        <f>DATE(2020, 3, 24)</f>
        <v>25569.3125</v>
      </c>
      <c r="B1373" s="6">
        <v>27.15</v>
      </c>
    </row>
    <row x14ac:dyDescent="0.25" r="1374" customHeight="1" ht="18.75">
      <c r="A1374" s="5">
        <f>DATE(2020, 3, 23)</f>
        <v>25569.3125</v>
      </c>
      <c r="B1374" s="6">
        <v>27.03</v>
      </c>
    </row>
    <row x14ac:dyDescent="0.25" r="1375" customHeight="1" ht="18.75">
      <c r="A1375" s="5">
        <f>DATE(2020, 3, 20)</f>
        <v>25569.3125</v>
      </c>
      <c r="B1375" s="6">
        <v>26.98</v>
      </c>
    </row>
    <row x14ac:dyDescent="0.25" r="1376" customHeight="1" ht="18.75">
      <c r="A1376" s="5">
        <f>DATE(2020, 3, 19)</f>
        <v>25569.3125</v>
      </c>
      <c r="B1376" s="6">
        <v>28.47</v>
      </c>
    </row>
    <row x14ac:dyDescent="0.25" r="1377" customHeight="1" ht="18.75">
      <c r="A1377" s="5">
        <f>DATE(2020, 3, 18)</f>
        <v>25569.3125</v>
      </c>
      <c r="B1377" s="6">
        <v>24.88</v>
      </c>
    </row>
    <row x14ac:dyDescent="0.25" r="1378" customHeight="1" ht="18.75">
      <c r="A1378" s="5">
        <f>DATE(2020, 3, 17)</f>
        <v>25569.3125</v>
      </c>
      <c r="B1378" s="6">
        <v>28.73</v>
      </c>
    </row>
    <row x14ac:dyDescent="0.25" r="1379" customHeight="1" ht="18.75">
      <c r="A1379" s="5">
        <f>DATE(2020, 3, 16)</f>
        <v>25569.3125</v>
      </c>
      <c r="B1379" s="6">
        <v>30.05</v>
      </c>
    </row>
    <row x14ac:dyDescent="0.25" r="1380" customHeight="1" ht="18.75">
      <c r="A1380" s="5">
        <f>DATE(2020, 3, 13)</f>
        <v>25569.3125</v>
      </c>
      <c r="B1380" s="6">
        <v>33.85</v>
      </c>
    </row>
    <row x14ac:dyDescent="0.25" r="1381" customHeight="1" ht="18.75">
      <c r="A1381" s="5">
        <f>DATE(2020, 3, 12)</f>
        <v>25569.3125</v>
      </c>
      <c r="B1381" s="6">
        <v>33.22</v>
      </c>
    </row>
    <row x14ac:dyDescent="0.25" r="1382" customHeight="1" ht="18.75">
      <c r="A1382" s="5">
        <f>DATE(2020, 3, 11)</f>
        <v>25569.3125</v>
      </c>
      <c r="B1382" s="6">
        <v>35.79</v>
      </c>
    </row>
    <row x14ac:dyDescent="0.25" r="1383" customHeight="1" ht="18.75">
      <c r="A1383" s="5">
        <f>DATE(2020, 3, 10)</f>
        <v>25569.3125</v>
      </c>
      <c r="B1383" s="6">
        <v>37.22</v>
      </c>
    </row>
    <row x14ac:dyDescent="0.25" r="1384" customHeight="1" ht="18.75">
      <c r="A1384" s="5">
        <f>DATE(2020, 3, 9)</f>
        <v>25569.3125</v>
      </c>
      <c r="B1384" s="6">
        <v>34.36</v>
      </c>
    </row>
    <row x14ac:dyDescent="0.25" r="1385" customHeight="1" ht="18.75">
      <c r="A1385" s="5">
        <f>DATE(2020, 3, 6)</f>
        <v>25569.3125</v>
      </c>
      <c r="B1385" s="6">
        <v>45.27</v>
      </c>
    </row>
    <row x14ac:dyDescent="0.25" r="1386" customHeight="1" ht="18.75">
      <c r="A1386" s="5">
        <f>DATE(2020, 3, 5)</f>
        <v>25569.3125</v>
      </c>
      <c r="B1386" s="6">
        <v>49.99</v>
      </c>
    </row>
    <row x14ac:dyDescent="0.25" r="1387" customHeight="1" ht="18.75">
      <c r="A1387" s="5">
        <f>DATE(2020, 3, 4)</f>
        <v>25569.3125</v>
      </c>
      <c r="B1387" s="6">
        <v>51.13</v>
      </c>
    </row>
    <row x14ac:dyDescent="0.25" r="1388" customHeight="1" ht="18.75">
      <c r="A1388" s="5">
        <f>DATE(2020, 3, 3)</f>
        <v>25569.3125</v>
      </c>
      <c r="B1388" s="6">
        <v>51.86</v>
      </c>
    </row>
    <row x14ac:dyDescent="0.25" r="1389" customHeight="1" ht="18.75">
      <c r="A1389" s="5">
        <f>DATE(2020, 3, 2)</f>
        <v>25569.3125</v>
      </c>
      <c r="B1389" s="6">
        <v>51.9</v>
      </c>
    </row>
    <row x14ac:dyDescent="0.25" r="1390" customHeight="1" ht="18.75">
      <c r="A1390" s="5">
        <f>DATE(2020, 2, 28)</f>
        <v>25569.3125</v>
      </c>
      <c r="B1390" s="6">
        <v>50.52</v>
      </c>
    </row>
    <row x14ac:dyDescent="0.25" r="1391" customHeight="1" ht="18.75">
      <c r="A1391" s="5">
        <f>DATE(2020, 2, 27)</f>
        <v>25569.3125</v>
      </c>
      <c r="B1391" s="6">
        <v>52.18</v>
      </c>
    </row>
    <row x14ac:dyDescent="0.25" r="1392" customHeight="1" ht="18.75">
      <c r="A1392" s="5">
        <f>DATE(2020, 2, 26)</f>
        <v>25569.3125</v>
      </c>
      <c r="B1392" s="6">
        <v>53.43</v>
      </c>
    </row>
    <row x14ac:dyDescent="0.25" r="1393" customHeight="1" ht="18.75">
      <c r="A1393" s="5">
        <f>DATE(2020, 2, 25)</f>
        <v>25569.3125</v>
      </c>
      <c r="B1393" s="6">
        <v>54.95</v>
      </c>
    </row>
    <row x14ac:dyDescent="0.25" r="1394" customHeight="1" ht="18.75">
      <c r="A1394" s="5">
        <f>DATE(2020, 2, 24)</f>
        <v>25569.3125</v>
      </c>
      <c r="B1394" s="6">
        <v>56.3</v>
      </c>
    </row>
    <row x14ac:dyDescent="0.25" r="1395" customHeight="1" ht="18.75">
      <c r="A1395" s="5">
        <f>DATE(2020, 2, 21)</f>
        <v>25569.3125</v>
      </c>
      <c r="B1395" s="6">
        <v>58.5</v>
      </c>
    </row>
    <row x14ac:dyDescent="0.25" r="1396" customHeight="1" ht="18.75">
      <c r="A1396" s="5">
        <f>DATE(2020, 2, 20)</f>
        <v>25569.3125</v>
      </c>
      <c r="B1396" s="6">
        <v>59.31</v>
      </c>
    </row>
    <row x14ac:dyDescent="0.25" r="1397" customHeight="1" ht="18.75">
      <c r="A1397" s="5">
        <f>DATE(2020, 2, 19)</f>
        <v>25569.3125</v>
      </c>
      <c r="B1397" s="6">
        <v>59.12</v>
      </c>
    </row>
    <row x14ac:dyDescent="0.25" r="1398" customHeight="1" ht="18.75">
      <c r="A1398" s="5">
        <f>DATE(2020, 2, 18)</f>
        <v>25569.3125</v>
      </c>
      <c r="B1398" s="6">
        <v>57.75</v>
      </c>
    </row>
    <row x14ac:dyDescent="0.25" r="1399" customHeight="1" ht="18.75">
      <c r="A1399" s="5">
        <f>DATE(2020, 2, 17)</f>
        <v>25569.3125</v>
      </c>
      <c r="B1399" s="6">
        <v>57.67</v>
      </c>
    </row>
    <row x14ac:dyDescent="0.25" r="1400" customHeight="1" ht="18.75">
      <c r="A1400" s="5">
        <f>DATE(2020, 2, 14)</f>
        <v>25569.3125</v>
      </c>
      <c r="B1400" s="6">
        <v>57.32</v>
      </c>
    </row>
    <row x14ac:dyDescent="0.25" r="1401" customHeight="1" ht="18.75">
      <c r="A1401" s="5">
        <f>DATE(2020, 2, 13)</f>
        <v>25569.3125</v>
      </c>
      <c r="B1401" s="6">
        <v>56.34</v>
      </c>
    </row>
    <row x14ac:dyDescent="0.25" r="1402" customHeight="1" ht="18.75">
      <c r="A1402" s="5">
        <f>DATE(2020, 2, 12)</f>
        <v>25569.3125</v>
      </c>
      <c r="B1402" s="6">
        <v>55.79</v>
      </c>
    </row>
    <row x14ac:dyDescent="0.25" r="1403" customHeight="1" ht="18.75">
      <c r="A1403" s="5">
        <f>DATE(2020, 2, 11)</f>
        <v>25569.3125</v>
      </c>
      <c r="B1403" s="6">
        <v>54.01</v>
      </c>
    </row>
    <row x14ac:dyDescent="0.25" r="1404" customHeight="1" ht="18.75">
      <c r="A1404" s="5">
        <f>DATE(2020, 2, 10)</f>
        <v>25569.3125</v>
      </c>
      <c r="B1404" s="6">
        <v>53.27</v>
      </c>
    </row>
    <row x14ac:dyDescent="0.25" r="1405" customHeight="1" ht="18.75">
      <c r="A1405" s="5">
        <f>DATE(2020, 2, 7)</f>
        <v>25569.3125</v>
      </c>
      <c r="B1405" s="6">
        <v>54.47</v>
      </c>
    </row>
    <row x14ac:dyDescent="0.25" r="1406" customHeight="1" ht="18.75">
      <c r="A1406" s="5">
        <f>DATE(2020, 2, 6)</f>
        <v>25569.3125</v>
      </c>
      <c r="B1406" s="6">
        <v>54.93</v>
      </c>
    </row>
    <row x14ac:dyDescent="0.25" r="1407" customHeight="1" ht="18.75">
      <c r="A1407" s="5">
        <f>DATE(2020, 2, 5)</f>
        <v>25569.3125</v>
      </c>
      <c r="B1407" s="6">
        <v>55.28</v>
      </c>
    </row>
    <row x14ac:dyDescent="0.25" r="1408" customHeight="1" ht="18.75">
      <c r="A1408" s="5">
        <f>DATE(2020, 2, 4)</f>
        <v>25569.3125</v>
      </c>
      <c r="B1408" s="6">
        <v>53.96</v>
      </c>
    </row>
    <row x14ac:dyDescent="0.25" r="1409" customHeight="1" ht="18.75">
      <c r="A1409" s="5">
        <f>DATE(2020, 2, 3)</f>
        <v>25569.3125</v>
      </c>
      <c r="B1409" s="6">
        <v>54.45</v>
      </c>
    </row>
    <row x14ac:dyDescent="0.25" r="1410" customHeight="1" ht="18.75">
      <c r="A1410" s="5">
        <f>DATE(2020, 1, 31)</f>
        <v>25569.3125</v>
      </c>
      <c r="B1410" s="6">
        <v>58.16</v>
      </c>
    </row>
    <row x14ac:dyDescent="0.25" r="1411" customHeight="1" ht="18.75">
      <c r="A1411" s="5">
        <f>DATE(2020, 1, 30)</f>
        <v>25569.3125</v>
      </c>
      <c r="B1411" s="6">
        <v>58.29</v>
      </c>
    </row>
    <row x14ac:dyDescent="0.25" r="1412" customHeight="1" ht="18.75">
      <c r="A1412" s="5">
        <f>DATE(2020, 1, 29)</f>
        <v>25569.3125</v>
      </c>
      <c r="B1412" s="6">
        <v>59.81</v>
      </c>
    </row>
    <row x14ac:dyDescent="0.25" r="1413" customHeight="1" ht="18.75">
      <c r="A1413" s="5">
        <f>DATE(2020, 1, 28)</f>
        <v>25569.3125</v>
      </c>
      <c r="B1413" s="6">
        <v>59.51</v>
      </c>
    </row>
    <row x14ac:dyDescent="0.25" r="1414" customHeight="1" ht="18.75">
      <c r="A1414" s="5">
        <f>DATE(2020, 1, 27)</f>
        <v>25569.3125</v>
      </c>
      <c r="B1414" s="6">
        <v>59.32</v>
      </c>
    </row>
    <row x14ac:dyDescent="0.25" r="1415" customHeight="1" ht="18.75">
      <c r="A1415" s="5">
        <f>DATE(2020, 1, 24)</f>
        <v>25569.3125</v>
      </c>
      <c r="B1415" s="6">
        <v>60.69</v>
      </c>
    </row>
    <row x14ac:dyDescent="0.25" r="1416" customHeight="1" ht="18.75">
      <c r="A1416" s="5">
        <f>DATE(2020, 1, 23)</f>
        <v>25569.3125</v>
      </c>
      <c r="B1416" s="6">
        <v>62.04</v>
      </c>
    </row>
    <row x14ac:dyDescent="0.25" r="1417" customHeight="1" ht="18.75">
      <c r="A1417" s="5">
        <f>DATE(2020, 1, 22)</f>
        <v>25569.3125</v>
      </c>
      <c r="B1417" s="6">
        <v>63.21</v>
      </c>
    </row>
    <row x14ac:dyDescent="0.25" r="1418" customHeight="1" ht="18.75">
      <c r="A1418" s="5">
        <f>DATE(2020, 1, 21)</f>
        <v>25569.3125</v>
      </c>
      <c r="B1418" s="6">
        <v>64.59</v>
      </c>
    </row>
    <row x14ac:dyDescent="0.25" r="1419" customHeight="1" ht="18.75">
      <c r="A1419" s="5">
        <f>DATE(2020, 1, 20)</f>
        <v>25569.3125</v>
      </c>
      <c r="B1419" s="6">
        <v>65.2</v>
      </c>
    </row>
    <row x14ac:dyDescent="0.25" r="1420" customHeight="1" ht="18.75">
      <c r="A1420" s="5">
        <f>DATE(2020, 1, 17)</f>
        <v>25569.3125</v>
      </c>
      <c r="B1420" s="6">
        <v>64.85</v>
      </c>
    </row>
    <row x14ac:dyDescent="0.25" r="1421" customHeight="1" ht="18.75">
      <c r="A1421" s="5">
        <f>DATE(2020, 1, 16)</f>
        <v>25569.3125</v>
      </c>
      <c r="B1421" s="6">
        <v>64.62</v>
      </c>
    </row>
    <row x14ac:dyDescent="0.25" r="1422" customHeight="1" ht="18.75">
      <c r="A1422" s="5">
        <f>DATE(2020, 1, 15)</f>
        <v>25569.3125</v>
      </c>
      <c r="B1422" s="6">
        <v>64</v>
      </c>
    </row>
    <row x14ac:dyDescent="0.25" r="1423" customHeight="1" ht="18.75">
      <c r="A1423" s="5">
        <f>DATE(2020, 1, 14)</f>
        <v>25569.3125</v>
      </c>
      <c r="B1423" s="6">
        <v>64.49</v>
      </c>
    </row>
    <row x14ac:dyDescent="0.25" r="1424" customHeight="1" ht="18.75">
      <c r="A1424" s="5">
        <f>DATE(2020, 1, 13)</f>
        <v>25569.3125</v>
      </c>
      <c r="B1424" s="6">
        <v>64.2</v>
      </c>
    </row>
    <row x14ac:dyDescent="0.25" r="1425" customHeight="1" ht="18.75">
      <c r="A1425" s="5">
        <f>DATE(2020, 1, 10)</f>
        <v>25569.3125</v>
      </c>
      <c r="B1425" s="6">
        <v>64.98</v>
      </c>
    </row>
    <row x14ac:dyDescent="0.25" r="1426" customHeight="1" ht="18.75">
      <c r="A1426" s="5">
        <f>DATE(2020, 1, 9)</f>
        <v>25569.3125</v>
      </c>
      <c r="B1426" s="6">
        <v>65.37</v>
      </c>
    </row>
    <row x14ac:dyDescent="0.25" r="1427" customHeight="1" ht="18.75">
      <c r="A1427" s="5">
        <f>DATE(2020, 1, 8)</f>
        <v>25569.3125</v>
      </c>
      <c r="B1427" s="6">
        <v>65.44</v>
      </c>
    </row>
    <row x14ac:dyDescent="0.25" r="1428" customHeight="1" ht="18.75">
      <c r="A1428" s="5">
        <f>DATE(2020, 1, 7)</f>
        <v>25569.3125</v>
      </c>
      <c r="B1428" s="6">
        <v>68.27</v>
      </c>
    </row>
    <row x14ac:dyDescent="0.25" r="1429" customHeight="1" ht="18.75">
      <c r="A1429" s="5">
        <f>DATE(2020, 1, 6)</f>
        <v>25569.3125</v>
      </c>
      <c r="B1429" s="6">
        <v>68.91</v>
      </c>
    </row>
    <row x14ac:dyDescent="0.25" r="1430" customHeight="1" ht="18.75">
      <c r="A1430" s="5">
        <f>DATE(2020, 1, 3)</f>
        <v>25569.3125</v>
      </c>
      <c r="B1430" s="6">
        <v>68.6</v>
      </c>
    </row>
    <row x14ac:dyDescent="0.25" r="1431" customHeight="1" ht="18.75">
      <c r="A1431" s="5">
        <f>DATE(2020, 1, 2)</f>
        <v>25569.3125</v>
      </c>
      <c r="B1431" s="6">
        <v>66.25</v>
      </c>
    </row>
    <row x14ac:dyDescent="0.25" r="1432" customHeight="1" ht="18.75">
      <c r="A1432" s="5">
        <f>DATE(2020, 1, 1)</f>
        <v>25569.3125</v>
      </c>
      <c r="B1432" s="6">
        <v>66</v>
      </c>
    </row>
    <row x14ac:dyDescent="0.25" r="1433" customHeight="1" ht="18.75">
      <c r="A1433" s="5">
        <f>DATE(2019, 12, 31)</f>
        <v>25569.3125</v>
      </c>
      <c r="B1433" s="6">
        <v>66</v>
      </c>
    </row>
    <row x14ac:dyDescent="0.25" r="1434" customHeight="1" ht="18.75">
      <c r="A1434" s="5">
        <f>DATE(2019, 12, 30)</f>
        <v>25569.3125</v>
      </c>
      <c r="B1434" s="6">
        <v>68.44</v>
      </c>
    </row>
    <row x14ac:dyDescent="0.25" r="1435" customHeight="1" ht="18.75">
      <c r="A1435" s="5">
        <f>DATE(2019, 12, 27)</f>
        <v>25569.3125</v>
      </c>
      <c r="B1435" s="6">
        <v>68.16</v>
      </c>
    </row>
    <row x14ac:dyDescent="0.25" r="1436" customHeight="1" ht="18.75">
      <c r="A1436" s="5">
        <f>DATE(2019, 12, 26)</f>
        <v>25569.3125</v>
      </c>
      <c r="B1436" s="6">
        <v>67.92</v>
      </c>
    </row>
    <row x14ac:dyDescent="0.25" r="1437" customHeight="1" ht="18.75">
      <c r="A1437" s="5">
        <f>DATE(2019, 12, 25)</f>
        <v>25569.3125</v>
      </c>
      <c r="B1437" s="6">
        <v>67.2</v>
      </c>
    </row>
    <row x14ac:dyDescent="0.25" r="1438" customHeight="1" ht="18.75">
      <c r="A1438" s="5">
        <f>DATE(2019, 12, 24)</f>
        <v>25569.3125</v>
      </c>
      <c r="B1438" s="6">
        <v>67.2</v>
      </c>
    </row>
    <row x14ac:dyDescent="0.25" r="1439" customHeight="1" ht="18.75">
      <c r="A1439" s="5">
        <f>DATE(2019, 12, 23)</f>
        <v>25569.3125</v>
      </c>
      <c r="B1439" s="6">
        <v>66.39</v>
      </c>
    </row>
    <row x14ac:dyDescent="0.25" r="1440" customHeight="1" ht="18.75">
      <c r="A1440" s="5">
        <f>DATE(2019, 12, 20)</f>
        <v>25569.3125</v>
      </c>
      <c r="B1440" s="6">
        <v>66.14</v>
      </c>
    </row>
    <row x14ac:dyDescent="0.25" r="1441" customHeight="1" ht="18.75">
      <c r="A1441" s="5">
        <f>DATE(2019, 12, 19)</f>
        <v>25569.3125</v>
      </c>
      <c r="B1441" s="6">
        <v>66.54</v>
      </c>
    </row>
    <row x14ac:dyDescent="0.25" r="1442" customHeight="1" ht="18.75">
      <c r="A1442" s="5">
        <f>DATE(2019, 12, 18)</f>
        <v>25569.3125</v>
      </c>
      <c r="B1442" s="6">
        <v>66.17</v>
      </c>
    </row>
    <row x14ac:dyDescent="0.25" r="1443" customHeight="1" ht="18.75">
      <c r="A1443" s="5">
        <f>DATE(2019, 12, 17)</f>
        <v>25569.3125</v>
      </c>
      <c r="B1443" s="6">
        <v>66.1</v>
      </c>
    </row>
    <row x14ac:dyDescent="0.25" r="1444" customHeight="1" ht="18.75">
      <c r="A1444" s="5">
        <f>DATE(2019, 12, 16)</f>
        <v>25569.3125</v>
      </c>
      <c r="B1444" s="6">
        <v>65.34</v>
      </c>
    </row>
    <row x14ac:dyDescent="0.25" r="1445" customHeight="1" ht="18.75">
      <c r="A1445" s="5">
        <f>DATE(2019, 12, 13)</f>
        <v>25569.3125</v>
      </c>
      <c r="B1445" s="6">
        <v>65.22</v>
      </c>
    </row>
    <row x14ac:dyDescent="0.25" r="1446" customHeight="1" ht="18.75">
      <c r="A1446" s="5">
        <f>DATE(2019, 12, 12)</f>
        <v>25569.3125</v>
      </c>
      <c r="B1446" s="6">
        <v>64.2</v>
      </c>
    </row>
    <row x14ac:dyDescent="0.25" r="1447" customHeight="1" ht="18.75">
      <c r="A1447" s="5">
        <f>DATE(2019, 12, 11)</f>
        <v>25569.3125</v>
      </c>
      <c r="B1447" s="6">
        <v>63.72</v>
      </c>
    </row>
    <row x14ac:dyDescent="0.25" r="1448" customHeight="1" ht="18.75">
      <c r="A1448" s="5">
        <f>DATE(2019, 12, 10)</f>
        <v>25569.3125</v>
      </c>
      <c r="B1448" s="6">
        <v>64.34</v>
      </c>
    </row>
    <row x14ac:dyDescent="0.25" r="1449" customHeight="1" ht="18.75">
      <c r="A1449" s="5">
        <f>DATE(2019, 12, 9)</f>
        <v>25569.3125</v>
      </c>
      <c r="B1449" s="6">
        <v>64.25</v>
      </c>
    </row>
    <row x14ac:dyDescent="0.25" r="1450" customHeight="1" ht="18.75">
      <c r="A1450" s="5">
        <f>DATE(2019, 12, 6)</f>
        <v>25569.3125</v>
      </c>
      <c r="B1450" s="6">
        <v>64.39</v>
      </c>
    </row>
    <row x14ac:dyDescent="0.25" r="1451" customHeight="1" ht="18.75">
      <c r="A1451" s="5">
        <f>DATE(2019, 12, 5)</f>
        <v>25569.3125</v>
      </c>
      <c r="B1451" s="6">
        <v>63.39</v>
      </c>
    </row>
    <row x14ac:dyDescent="0.25" r="1452" customHeight="1" ht="18.75">
      <c r="A1452" s="5">
        <f>DATE(2019, 12, 4)</f>
        <v>25569.3125</v>
      </c>
      <c r="B1452" s="6">
        <v>63</v>
      </c>
    </row>
    <row x14ac:dyDescent="0.25" r="1453" customHeight="1" ht="18.75">
      <c r="A1453" s="5">
        <f>DATE(2019, 12, 3)</f>
        <v>25569.3125</v>
      </c>
      <c r="B1453" s="6">
        <v>60.82</v>
      </c>
    </row>
    <row x14ac:dyDescent="0.25" r="1454" customHeight="1" ht="18.75">
      <c r="A1454" s="5">
        <f>DATE(2019, 12, 2)</f>
        <v>25569.3125</v>
      </c>
      <c r="B1454" s="6">
        <v>60.92</v>
      </c>
    </row>
    <row x14ac:dyDescent="0.25" r="1455" customHeight="1" ht="18.75">
      <c r="A1455" s="5">
        <f>DATE(2019, 11, 29)</f>
        <v>25569.3125</v>
      </c>
      <c r="B1455" s="6">
        <v>62.43</v>
      </c>
    </row>
    <row x14ac:dyDescent="0.25" r="1456" customHeight="1" ht="18.75">
      <c r="A1456" s="5">
        <f>DATE(2019, 11, 28)</f>
        <v>25569.3125</v>
      </c>
      <c r="B1456" s="6">
        <v>63.87</v>
      </c>
    </row>
    <row x14ac:dyDescent="0.25" r="1457" customHeight="1" ht="18.75">
      <c r="A1457" s="5">
        <f>DATE(2019, 11, 27)</f>
        <v>25569.3125</v>
      </c>
      <c r="B1457" s="6">
        <v>64.06</v>
      </c>
    </row>
    <row x14ac:dyDescent="0.25" r="1458" customHeight="1" ht="18.75">
      <c r="A1458" s="5">
        <f>DATE(2019, 11, 26)</f>
        <v>25569.3125</v>
      </c>
      <c r="B1458" s="6">
        <v>64.27</v>
      </c>
    </row>
    <row x14ac:dyDescent="0.25" r="1459" customHeight="1" ht="18.75">
      <c r="A1459" s="5">
        <f>DATE(2019, 11, 25)</f>
        <v>25569.3125</v>
      </c>
      <c r="B1459" s="6">
        <v>63.65</v>
      </c>
    </row>
    <row x14ac:dyDescent="0.25" r="1460" customHeight="1" ht="18.75">
      <c r="A1460" s="5">
        <f>DATE(2019, 11, 22)</f>
        <v>25569.3125</v>
      </c>
      <c r="B1460" s="6">
        <v>63.39</v>
      </c>
    </row>
    <row x14ac:dyDescent="0.25" r="1461" customHeight="1" ht="18.75">
      <c r="A1461" s="5">
        <f>DATE(2019, 11, 21)</f>
        <v>25569.3125</v>
      </c>
      <c r="B1461" s="6">
        <v>63.97</v>
      </c>
    </row>
    <row x14ac:dyDescent="0.25" r="1462" customHeight="1" ht="18.75">
      <c r="A1462" s="5">
        <f>DATE(2019, 11, 20)</f>
        <v>25569.3125</v>
      </c>
      <c r="B1462" s="6">
        <v>62.4</v>
      </c>
    </row>
    <row x14ac:dyDescent="0.25" r="1463" customHeight="1" ht="18.75">
      <c r="A1463" s="5">
        <f>DATE(2019, 11, 19)</f>
        <v>25569.3125</v>
      </c>
      <c r="B1463" s="6">
        <v>60.91</v>
      </c>
    </row>
    <row x14ac:dyDescent="0.25" r="1464" customHeight="1" ht="18.75">
      <c r="A1464" s="5">
        <f>DATE(2019, 11, 18)</f>
        <v>25569.3125</v>
      </c>
      <c r="B1464" s="6">
        <v>62.44</v>
      </c>
    </row>
    <row x14ac:dyDescent="0.25" r="1465" customHeight="1" ht="18.75">
      <c r="A1465" s="5">
        <f>DATE(2019, 11, 15)</f>
        <v>25569.3125</v>
      </c>
      <c r="B1465" s="6">
        <v>63.3</v>
      </c>
    </row>
    <row x14ac:dyDescent="0.25" r="1466" customHeight="1" ht="18.75">
      <c r="A1466" s="5">
        <f>DATE(2019, 11, 14)</f>
        <v>25569.3125</v>
      </c>
      <c r="B1466" s="6">
        <v>62.28</v>
      </c>
    </row>
    <row x14ac:dyDescent="0.25" r="1467" customHeight="1" ht="18.75">
      <c r="A1467" s="5">
        <f>DATE(2019, 11, 13)</f>
        <v>25569.3125</v>
      </c>
      <c r="B1467" s="6">
        <v>62.37</v>
      </c>
    </row>
    <row x14ac:dyDescent="0.25" r="1468" customHeight="1" ht="18.75">
      <c r="A1468" s="5">
        <f>DATE(2019, 11, 12)</f>
        <v>25569.3125</v>
      </c>
      <c r="B1468" s="6">
        <v>62.06</v>
      </c>
    </row>
    <row x14ac:dyDescent="0.25" r="1469" customHeight="1" ht="18.75">
      <c r="A1469" s="5">
        <f>DATE(2019, 11, 11)</f>
        <v>25569.3125</v>
      </c>
      <c r="B1469" s="6">
        <v>62.18</v>
      </c>
    </row>
    <row x14ac:dyDescent="0.25" r="1470" customHeight="1" ht="18.75">
      <c r="A1470" s="5">
        <f>DATE(2019, 11, 8)</f>
        <v>25569.3125</v>
      </c>
      <c r="B1470" s="6">
        <v>62.51</v>
      </c>
    </row>
    <row x14ac:dyDescent="0.25" r="1471" customHeight="1" ht="18.75">
      <c r="A1471" s="5">
        <f>DATE(2019, 11, 7)</f>
        <v>25569.3125</v>
      </c>
      <c r="B1471" s="6">
        <v>62.29</v>
      </c>
    </row>
    <row x14ac:dyDescent="0.25" r="1472" customHeight="1" ht="18.75">
      <c r="A1472" s="5">
        <f>DATE(2019, 11, 6)</f>
        <v>25569.3125</v>
      </c>
      <c r="B1472" s="6">
        <v>61.74</v>
      </c>
    </row>
    <row x14ac:dyDescent="0.25" r="1473" customHeight="1" ht="18.75">
      <c r="A1473" s="5">
        <f>DATE(2019, 11, 5)</f>
        <v>25569.3125</v>
      </c>
      <c r="B1473" s="6">
        <v>62.96</v>
      </c>
    </row>
    <row x14ac:dyDescent="0.25" r="1474" customHeight="1" ht="18.75">
      <c r="A1474" s="5">
        <f>DATE(2019, 11, 4)</f>
        <v>25569.3125</v>
      </c>
      <c r="B1474" s="6">
        <v>62.13</v>
      </c>
    </row>
    <row x14ac:dyDescent="0.25" r="1475" customHeight="1" ht="18.75">
      <c r="A1475" s="5">
        <f>DATE(2019, 11, 1)</f>
        <v>25569.3125</v>
      </c>
      <c r="B1475" s="6">
        <v>61.69</v>
      </c>
    </row>
    <row x14ac:dyDescent="0.25" r="1476" customHeight="1" ht="18.75">
      <c r="A1476" s="5">
        <f>DATE(2019, 10, 31)</f>
        <v>25569.3125</v>
      </c>
      <c r="B1476" s="6">
        <v>60.23</v>
      </c>
    </row>
    <row x14ac:dyDescent="0.25" r="1477" customHeight="1" ht="18.75">
      <c r="A1477" s="5">
        <f>DATE(2019, 10, 30)</f>
        <v>25569.3125</v>
      </c>
      <c r="B1477" s="6">
        <v>60.61</v>
      </c>
    </row>
    <row x14ac:dyDescent="0.25" r="1478" customHeight="1" ht="18.75">
      <c r="A1478" s="5">
        <f>DATE(2019, 10, 29)</f>
        <v>25569.3125</v>
      </c>
      <c r="B1478" s="6">
        <v>61.59</v>
      </c>
    </row>
    <row x14ac:dyDescent="0.25" r="1479" customHeight="1" ht="18.75">
      <c r="A1479" s="5">
        <f>DATE(2019, 10, 28)</f>
        <v>25569.3125</v>
      </c>
      <c r="B1479" s="6">
        <v>61.57</v>
      </c>
    </row>
    <row x14ac:dyDescent="0.25" r="1480" customHeight="1" ht="18.75">
      <c r="A1480" s="5">
        <f>DATE(2019, 10, 25)</f>
        <v>25569.3125</v>
      </c>
      <c r="B1480" s="6">
        <v>62.02</v>
      </c>
    </row>
    <row x14ac:dyDescent="0.25" r="1481" customHeight="1" ht="18.75">
      <c r="A1481" s="5">
        <f>DATE(2019, 10, 24)</f>
        <v>25569.3125</v>
      </c>
      <c r="B1481" s="6">
        <v>61.67</v>
      </c>
    </row>
    <row x14ac:dyDescent="0.25" r="1482" customHeight="1" ht="18.75">
      <c r="A1482" s="5">
        <f>DATE(2019, 10, 23)</f>
        <v>25569.3125</v>
      </c>
      <c r="B1482" s="6">
        <v>61.17</v>
      </c>
    </row>
    <row x14ac:dyDescent="0.25" r="1483" customHeight="1" ht="18.75">
      <c r="A1483" s="5">
        <f>DATE(2019, 10, 22)</f>
        <v>25569.3125</v>
      </c>
      <c r="B1483" s="6">
        <v>59.7</v>
      </c>
    </row>
    <row x14ac:dyDescent="0.25" r="1484" customHeight="1" ht="18.75">
      <c r="A1484" s="5">
        <f>DATE(2019, 10, 21)</f>
        <v>25569.3125</v>
      </c>
      <c r="B1484" s="6">
        <v>58.96</v>
      </c>
    </row>
    <row x14ac:dyDescent="0.25" r="1485" customHeight="1" ht="18.75">
      <c r="A1485" s="5">
        <f>DATE(2019, 10, 18)</f>
        <v>25569.3125</v>
      </c>
      <c r="B1485" s="6">
        <v>59.42</v>
      </c>
    </row>
    <row x14ac:dyDescent="0.25" r="1486" customHeight="1" ht="18.75">
      <c r="A1486" s="5">
        <f>DATE(2019, 10, 17)</f>
        <v>25569.3125</v>
      </c>
      <c r="B1486" s="6">
        <v>59.91</v>
      </c>
    </row>
    <row x14ac:dyDescent="0.25" r="1487" customHeight="1" ht="18.75">
      <c r="A1487" s="5">
        <f>DATE(2019, 10, 16)</f>
        <v>25569.3125</v>
      </c>
      <c r="B1487" s="6">
        <v>59.42</v>
      </c>
    </row>
    <row x14ac:dyDescent="0.25" r="1488" customHeight="1" ht="18.75">
      <c r="A1488" s="5">
        <f>DATE(2019, 10, 15)</f>
        <v>25569.3125</v>
      </c>
      <c r="B1488" s="6">
        <v>58.74</v>
      </c>
    </row>
    <row x14ac:dyDescent="0.25" r="1489" customHeight="1" ht="18.75">
      <c r="A1489" s="5">
        <f>DATE(2019, 10, 14)</f>
        <v>25569.3125</v>
      </c>
      <c r="B1489" s="6">
        <v>59.35</v>
      </c>
    </row>
    <row x14ac:dyDescent="0.25" r="1490" customHeight="1" ht="18.75">
      <c r="A1490" s="5">
        <f>DATE(2019, 10, 11)</f>
        <v>25569.3125</v>
      </c>
      <c r="B1490" s="6">
        <v>60.51</v>
      </c>
    </row>
    <row x14ac:dyDescent="0.25" r="1491" customHeight="1" ht="18.75">
      <c r="A1491" s="5">
        <f>DATE(2019, 10, 10)</f>
        <v>25569.3125</v>
      </c>
      <c r="B1491" s="6">
        <v>59.1</v>
      </c>
    </row>
    <row x14ac:dyDescent="0.25" r="1492" customHeight="1" ht="18.75">
      <c r="A1492" s="5">
        <f>DATE(2019, 10, 9)</f>
        <v>25569.3125</v>
      </c>
      <c r="B1492" s="6">
        <v>58.32</v>
      </c>
    </row>
    <row x14ac:dyDescent="0.25" r="1493" customHeight="1" ht="18.75">
      <c r="A1493" s="5">
        <f>DATE(2019, 10, 8)</f>
        <v>25569.3125</v>
      </c>
      <c r="B1493" s="6">
        <v>58.24</v>
      </c>
    </row>
    <row x14ac:dyDescent="0.25" r="1494" customHeight="1" ht="18.75">
      <c r="A1494" s="5">
        <f>DATE(2019, 10, 7)</f>
        <v>25569.3125</v>
      </c>
      <c r="B1494" s="6">
        <v>58.35</v>
      </c>
    </row>
    <row x14ac:dyDescent="0.25" r="1495" customHeight="1" ht="18.75">
      <c r="A1495" s="5">
        <f>DATE(2019, 10, 4)</f>
        <v>25569.3125</v>
      </c>
      <c r="B1495" s="6">
        <v>58.37</v>
      </c>
    </row>
    <row x14ac:dyDescent="0.25" r="1496" customHeight="1" ht="18.75">
      <c r="A1496" s="5">
        <f>DATE(2019, 10, 3)</f>
        <v>25569.3125</v>
      </c>
      <c r="B1496" s="6">
        <v>57.71</v>
      </c>
    </row>
    <row x14ac:dyDescent="0.25" r="1497" customHeight="1" ht="18.75">
      <c r="A1497" s="5">
        <f>DATE(2019, 10, 2)</f>
        <v>25569.3125</v>
      </c>
      <c r="B1497" s="6">
        <v>57.69</v>
      </c>
    </row>
    <row x14ac:dyDescent="0.25" r="1498" customHeight="1" ht="18.75">
      <c r="A1498" s="5">
        <f>DATE(2019, 10, 1)</f>
        <v>25569.3125</v>
      </c>
      <c r="B1498" s="6">
        <v>58.89</v>
      </c>
    </row>
    <row x14ac:dyDescent="0.25" r="1499" customHeight="1" ht="18.75">
      <c r="A1499" s="5">
        <f>DATE(2019, 9, 30)</f>
        <v>25569.3125</v>
      </c>
      <c r="B1499" s="6">
        <v>60.78</v>
      </c>
    </row>
    <row x14ac:dyDescent="0.25" r="1500" customHeight="1" ht="18.75">
      <c r="A1500" s="5">
        <f>DATE(2019, 9, 27)</f>
        <v>25569.3125</v>
      </c>
      <c r="B1500" s="6">
        <v>61.91</v>
      </c>
    </row>
    <row x14ac:dyDescent="0.25" r="1501" customHeight="1" ht="18.75">
      <c r="A1501" s="5">
        <f>DATE(2019, 9, 26)</f>
        <v>25569.3125</v>
      </c>
      <c r="B1501" s="6">
        <v>62.74</v>
      </c>
    </row>
    <row x14ac:dyDescent="0.25" r="1502" customHeight="1" ht="18.75">
      <c r="A1502" s="5">
        <f>DATE(2019, 9, 25)</f>
        <v>25569.3125</v>
      </c>
      <c r="B1502" s="6">
        <v>62.39</v>
      </c>
    </row>
    <row x14ac:dyDescent="0.25" r="1503" customHeight="1" ht="18.75">
      <c r="A1503" s="5">
        <f>DATE(2019, 9, 24)</f>
        <v>25569.3125</v>
      </c>
      <c r="B1503" s="6">
        <v>63.1</v>
      </c>
    </row>
    <row x14ac:dyDescent="0.25" r="1504" customHeight="1" ht="18.75">
      <c r="A1504" s="5">
        <f>DATE(2019, 9, 23)</f>
        <v>25569.3125</v>
      </c>
      <c r="B1504" s="6">
        <v>64.77</v>
      </c>
    </row>
    <row x14ac:dyDescent="0.25" r="1505" customHeight="1" ht="18.75">
      <c r="A1505" s="5">
        <f>DATE(2019, 9, 20)</f>
        <v>25569.3125</v>
      </c>
      <c r="B1505" s="6">
        <v>64.28</v>
      </c>
    </row>
    <row x14ac:dyDescent="0.25" r="1506" customHeight="1" ht="18.75">
      <c r="A1506" s="5">
        <f>DATE(2019, 9, 19)</f>
        <v>25569.3125</v>
      </c>
      <c r="B1506" s="6">
        <v>64.4</v>
      </c>
    </row>
    <row x14ac:dyDescent="0.25" r="1507" customHeight="1" ht="18.75">
      <c r="A1507" s="5">
        <f>DATE(2019, 9, 18)</f>
        <v>25569.3125</v>
      </c>
      <c r="B1507" s="6">
        <v>63.6</v>
      </c>
    </row>
    <row x14ac:dyDescent="0.25" r="1508" customHeight="1" ht="18.75">
      <c r="A1508" s="5">
        <f>DATE(2019, 9, 17)</f>
        <v>25569.3125</v>
      </c>
      <c r="B1508" s="6">
        <v>64.55</v>
      </c>
    </row>
    <row x14ac:dyDescent="0.25" r="1509" customHeight="1" ht="18.75">
      <c r="A1509" s="5">
        <f>DATE(2019, 9, 16)</f>
        <v>25569.3125</v>
      </c>
      <c r="B1509" s="6">
        <v>69.02</v>
      </c>
    </row>
    <row x14ac:dyDescent="0.25" r="1510" customHeight="1" ht="18.75">
      <c r="A1510" s="5">
        <f>DATE(2019, 9, 13)</f>
        <v>25569.3125</v>
      </c>
      <c r="B1510" s="6">
        <v>60.22</v>
      </c>
    </row>
    <row x14ac:dyDescent="0.25" r="1511" customHeight="1" ht="18.75">
      <c r="A1511" s="5">
        <f>DATE(2019, 9, 12)</f>
        <v>25569.3125</v>
      </c>
      <c r="B1511" s="6">
        <v>60.38</v>
      </c>
    </row>
    <row x14ac:dyDescent="0.25" r="1512" customHeight="1" ht="18.75">
      <c r="A1512" s="5">
        <f>DATE(2019, 9, 11)</f>
        <v>25569.3125</v>
      </c>
      <c r="B1512" s="6">
        <v>60.81</v>
      </c>
    </row>
    <row x14ac:dyDescent="0.25" r="1513" customHeight="1" ht="18.75">
      <c r="A1513" s="5">
        <f>DATE(2019, 9, 10)</f>
        <v>25569.3125</v>
      </c>
      <c r="B1513" s="6">
        <v>62.38</v>
      </c>
    </row>
    <row x14ac:dyDescent="0.25" r="1514" customHeight="1" ht="18.75">
      <c r="A1514" s="5">
        <f>DATE(2019, 9, 9)</f>
        <v>25569.3125</v>
      </c>
      <c r="B1514" s="6">
        <v>62.59</v>
      </c>
    </row>
    <row x14ac:dyDescent="0.25" r="1515" customHeight="1" ht="18.75">
      <c r="A1515" s="5">
        <f>DATE(2019, 9, 6)</f>
        <v>25569.3125</v>
      </c>
      <c r="B1515" s="6">
        <v>61.54</v>
      </c>
    </row>
    <row x14ac:dyDescent="0.25" r="1516" customHeight="1" ht="18.75">
      <c r="A1516" s="5">
        <f>DATE(2019, 9, 5)</f>
        <v>25569.3125</v>
      </c>
      <c r="B1516" s="6">
        <v>60.95</v>
      </c>
    </row>
    <row x14ac:dyDescent="0.25" r="1517" customHeight="1" ht="18.75">
      <c r="A1517" s="5">
        <f>DATE(2019, 9, 4)</f>
        <v>25569.3125</v>
      </c>
      <c r="B1517" s="6">
        <v>60.7</v>
      </c>
    </row>
    <row x14ac:dyDescent="0.25" r="1518" customHeight="1" ht="18.75">
      <c r="A1518" s="5">
        <f>DATE(2019, 9, 3)</f>
        <v>25569.3125</v>
      </c>
      <c r="B1518" s="6">
        <v>58.26</v>
      </c>
    </row>
    <row x14ac:dyDescent="0.25" r="1519" customHeight="1" ht="18.75">
      <c r="A1519" s="5">
        <f>DATE(2019, 9, 2)</f>
        <v>25569.3125</v>
      </c>
      <c r="B1519" s="6">
        <v>58.66</v>
      </c>
    </row>
    <row x14ac:dyDescent="0.25" r="1520" customHeight="1" ht="18.75">
      <c r="A1520" s="5">
        <f>DATE(2019, 8, 30)</f>
        <v>25569.3125</v>
      </c>
      <c r="B1520" s="6">
        <v>60.43</v>
      </c>
    </row>
    <row x14ac:dyDescent="0.25" r="1521" customHeight="1" ht="18.75">
      <c r="A1521" s="5">
        <f>DATE(2019, 8, 29)</f>
        <v>25569.3125</v>
      </c>
      <c r="B1521" s="6">
        <v>61.08</v>
      </c>
    </row>
    <row x14ac:dyDescent="0.25" r="1522" customHeight="1" ht="18.75">
      <c r="A1522" s="5">
        <f>DATE(2019, 8, 28)</f>
        <v>25569.3125</v>
      </c>
      <c r="B1522" s="6">
        <v>60.49</v>
      </c>
    </row>
    <row x14ac:dyDescent="0.25" r="1523" customHeight="1" ht="18.75">
      <c r="A1523" s="5">
        <f>DATE(2019, 8, 27)</f>
        <v>25569.3125</v>
      </c>
      <c r="B1523" s="6">
        <v>59.51</v>
      </c>
    </row>
    <row x14ac:dyDescent="0.25" r="1524" customHeight="1" ht="18.75">
      <c r="A1524" s="5">
        <f>DATE(2019, 8, 26)</f>
        <v>25569.3125</v>
      </c>
      <c r="B1524" s="6">
        <v>58.7</v>
      </c>
    </row>
    <row x14ac:dyDescent="0.25" r="1525" customHeight="1" ht="18.75">
      <c r="A1525" s="5">
        <f>DATE(2019, 8, 23)</f>
        <v>25569.3125</v>
      </c>
      <c r="B1525" s="6">
        <v>59.34</v>
      </c>
    </row>
    <row x14ac:dyDescent="0.25" r="1526" customHeight="1" ht="18.75">
      <c r="A1526" s="5">
        <f>DATE(2019, 8, 22)</f>
        <v>25569.3125</v>
      </c>
      <c r="B1526" s="6">
        <v>59.92</v>
      </c>
    </row>
    <row x14ac:dyDescent="0.25" r="1527" customHeight="1" ht="18.75">
      <c r="A1527" s="5">
        <f>DATE(2019, 8, 21)</f>
        <v>25569.3125</v>
      </c>
      <c r="B1527" s="6">
        <v>60.3</v>
      </c>
    </row>
    <row x14ac:dyDescent="0.25" r="1528" customHeight="1" ht="18.75">
      <c r="A1528" s="5">
        <f>DATE(2019, 8, 20)</f>
        <v>25569.3125</v>
      </c>
      <c r="B1528" s="6">
        <v>60.03</v>
      </c>
    </row>
    <row x14ac:dyDescent="0.25" r="1529" customHeight="1" ht="18.75">
      <c r="A1529" s="5">
        <f>DATE(2019, 8, 19)</f>
        <v>25569.3125</v>
      </c>
      <c r="B1529" s="6">
        <v>59.74</v>
      </c>
    </row>
    <row x14ac:dyDescent="0.25" r="1530" customHeight="1" ht="18.75">
      <c r="A1530" s="5">
        <f>DATE(2019, 8, 16)</f>
        <v>25569.3125</v>
      </c>
      <c r="B1530" s="6">
        <v>58.64</v>
      </c>
    </row>
    <row x14ac:dyDescent="0.25" r="1531" customHeight="1" ht="18.75">
      <c r="A1531" s="5">
        <f>DATE(2019, 8, 15)</f>
        <v>25569.3125</v>
      </c>
      <c r="B1531" s="6">
        <v>58.23</v>
      </c>
    </row>
    <row x14ac:dyDescent="0.25" r="1532" customHeight="1" ht="18.75">
      <c r="A1532" s="5">
        <f>DATE(2019, 8, 14)</f>
        <v>25569.3125</v>
      </c>
      <c r="B1532" s="6">
        <v>59.48</v>
      </c>
    </row>
    <row x14ac:dyDescent="0.25" r="1533" customHeight="1" ht="18.75">
      <c r="A1533" s="5">
        <f>DATE(2019, 8, 13)</f>
        <v>25569.3125</v>
      </c>
      <c r="B1533" s="6">
        <v>61.3</v>
      </c>
    </row>
    <row x14ac:dyDescent="0.25" r="1534" customHeight="1" ht="18.75">
      <c r="A1534" s="5">
        <f>DATE(2019, 8, 12)</f>
        <v>25569.3125</v>
      </c>
      <c r="B1534" s="6">
        <v>58.57</v>
      </c>
    </row>
    <row x14ac:dyDescent="0.25" r="1535" customHeight="1" ht="18.75">
      <c r="A1535" s="5">
        <f>DATE(2019, 8, 9)</f>
        <v>25569.3125</v>
      </c>
      <c r="B1535" s="6">
        <v>58.53</v>
      </c>
    </row>
    <row x14ac:dyDescent="0.25" r="1536" customHeight="1" ht="18.75">
      <c r="A1536" s="5">
        <f>DATE(2019, 8, 8)</f>
        <v>25569.3125</v>
      </c>
      <c r="B1536" s="6">
        <v>57.38</v>
      </c>
    </row>
    <row x14ac:dyDescent="0.25" r="1537" customHeight="1" ht="18.75">
      <c r="A1537" s="5">
        <f>DATE(2019, 8, 7)</f>
        <v>25569.3125</v>
      </c>
      <c r="B1537" s="6">
        <v>56.23</v>
      </c>
    </row>
    <row x14ac:dyDescent="0.25" r="1538" customHeight="1" ht="18.75">
      <c r="A1538" s="5">
        <f>DATE(2019, 8, 6)</f>
        <v>25569.3125</v>
      </c>
      <c r="B1538" s="6">
        <v>58.94</v>
      </c>
    </row>
    <row x14ac:dyDescent="0.25" r="1539" customHeight="1" ht="18.75">
      <c r="A1539" s="5">
        <f>DATE(2019, 8, 5)</f>
        <v>25569.3125</v>
      </c>
      <c r="B1539" s="6">
        <v>59.81</v>
      </c>
    </row>
    <row x14ac:dyDescent="0.25" r="1540" customHeight="1" ht="18.75">
      <c r="A1540" s="5">
        <f>DATE(2019, 8, 2)</f>
        <v>25569.3125</v>
      </c>
      <c r="B1540" s="6">
        <v>61.89</v>
      </c>
    </row>
    <row x14ac:dyDescent="0.25" r="1541" customHeight="1" ht="18.75">
      <c r="A1541" s="5">
        <f>DATE(2019, 8, 1)</f>
        <v>25569.3125</v>
      </c>
      <c r="B1541" s="6">
        <v>60.5</v>
      </c>
    </row>
    <row x14ac:dyDescent="0.25" r="1542" customHeight="1" ht="18.75">
      <c r="A1542" s="5">
        <f>DATE(2019, 7, 31)</f>
        <v>25569.3125</v>
      </c>
      <c r="B1542" s="6">
        <v>65.17</v>
      </c>
    </row>
    <row x14ac:dyDescent="0.25" r="1543" customHeight="1" ht="18.75">
      <c r="A1543" s="5">
        <f>DATE(2019, 7, 30)</f>
        <v>25569.3125</v>
      </c>
      <c r="B1543" s="6">
        <v>64.72</v>
      </c>
    </row>
    <row x14ac:dyDescent="0.25" r="1544" customHeight="1" ht="18.75">
      <c r="A1544" s="5">
        <f>DATE(2019, 7, 29)</f>
        <v>25569.3125</v>
      </c>
      <c r="B1544" s="6">
        <v>63.71</v>
      </c>
    </row>
    <row x14ac:dyDescent="0.25" r="1545" customHeight="1" ht="18.75">
      <c r="A1545" s="5">
        <f>DATE(2019, 7, 26)</f>
        <v>25569.3125</v>
      </c>
      <c r="B1545" s="6">
        <v>63.46</v>
      </c>
    </row>
    <row x14ac:dyDescent="0.25" r="1546" customHeight="1" ht="18.75">
      <c r="A1546" s="5">
        <f>DATE(2019, 7, 25)</f>
        <v>25569.3125</v>
      </c>
      <c r="B1546" s="6">
        <v>63.39</v>
      </c>
    </row>
    <row x14ac:dyDescent="0.25" r="1547" customHeight="1" ht="18.75">
      <c r="A1547" s="5">
        <f>DATE(2019, 7, 24)</f>
        <v>25569.3125</v>
      </c>
      <c r="B1547" s="6">
        <v>63.18</v>
      </c>
    </row>
    <row x14ac:dyDescent="0.25" r="1548" customHeight="1" ht="18.75">
      <c r="A1548" s="5">
        <f>DATE(2019, 7, 23)</f>
        <v>25569.3125</v>
      </c>
      <c r="B1548" s="6">
        <v>63.83</v>
      </c>
    </row>
    <row x14ac:dyDescent="0.25" r="1549" customHeight="1" ht="18.75">
      <c r="A1549" s="5">
        <f>DATE(2019, 7, 22)</f>
        <v>25569.3125</v>
      </c>
      <c r="B1549" s="6">
        <v>63.26</v>
      </c>
    </row>
    <row x14ac:dyDescent="0.25" r="1550" customHeight="1" ht="18.75">
      <c r="A1550" s="5">
        <f>DATE(2019, 7, 19)</f>
        <v>25569.3125</v>
      </c>
      <c r="B1550" s="6">
        <v>62.47</v>
      </c>
    </row>
    <row x14ac:dyDescent="0.25" r="1551" customHeight="1" ht="18.75">
      <c r="A1551" s="5">
        <f>DATE(2019, 7, 18)</f>
        <v>25569.3125</v>
      </c>
      <c r="B1551" s="6">
        <v>61.93</v>
      </c>
    </row>
    <row x14ac:dyDescent="0.25" r="1552" customHeight="1" ht="18.75">
      <c r="A1552" s="5">
        <f>DATE(2019, 7, 17)</f>
        <v>25569.3125</v>
      </c>
      <c r="B1552" s="6">
        <v>63.66</v>
      </c>
    </row>
    <row x14ac:dyDescent="0.25" r="1553" customHeight="1" ht="18.75">
      <c r="A1553" s="5">
        <f>DATE(2019, 7, 16)</f>
        <v>25569.3125</v>
      </c>
      <c r="B1553" s="6">
        <v>64.35</v>
      </c>
    </row>
    <row x14ac:dyDescent="0.25" r="1554" customHeight="1" ht="18.75">
      <c r="A1554" s="5">
        <f>DATE(2019, 7, 15)</f>
        <v>25569.3125</v>
      </c>
      <c r="B1554" s="6">
        <v>66.48</v>
      </c>
    </row>
    <row x14ac:dyDescent="0.25" r="1555" customHeight="1" ht="18.75">
      <c r="A1555" s="5">
        <f>DATE(2019, 7, 12)</f>
        <v>25569.3125</v>
      </c>
      <c r="B1555" s="6">
        <v>66.72</v>
      </c>
    </row>
    <row x14ac:dyDescent="0.25" r="1556" customHeight="1" ht="18.75">
      <c r="A1556" s="5">
        <f>DATE(2019, 7, 11)</f>
        <v>25569.3125</v>
      </c>
      <c r="B1556" s="6">
        <v>66.52</v>
      </c>
    </row>
    <row x14ac:dyDescent="0.25" r="1557" customHeight="1" ht="18.75">
      <c r="A1557" s="5">
        <f>DATE(2019, 7, 10)</f>
        <v>25569.3125</v>
      </c>
      <c r="B1557" s="6">
        <v>67.01</v>
      </c>
    </row>
    <row x14ac:dyDescent="0.25" r="1558" customHeight="1" ht="18.75">
      <c r="A1558" s="5">
        <f>DATE(2019, 7, 9)</f>
        <v>25569.3125</v>
      </c>
      <c r="B1558" s="6">
        <v>64.16</v>
      </c>
    </row>
    <row x14ac:dyDescent="0.25" r="1559" customHeight="1" ht="18.75">
      <c r="A1559" s="5">
        <f>DATE(2019, 7, 8)</f>
        <v>25569.3125</v>
      </c>
      <c r="B1559" s="6">
        <v>64.11</v>
      </c>
    </row>
    <row x14ac:dyDescent="0.25" r="1560" customHeight="1" ht="18.75">
      <c r="A1560" s="5">
        <f>DATE(2019, 7, 5)</f>
        <v>25569.3125</v>
      </c>
      <c r="B1560" s="6">
        <v>64.23</v>
      </c>
    </row>
    <row x14ac:dyDescent="0.25" r="1561" customHeight="1" ht="18.75">
      <c r="A1561" s="5">
        <f>DATE(2019, 7, 4)</f>
        <v>25569.3125</v>
      </c>
      <c r="B1561" s="6">
        <v>63.3</v>
      </c>
    </row>
    <row x14ac:dyDescent="0.25" r="1562" customHeight="1" ht="18.75">
      <c r="A1562" s="5">
        <f>DATE(2019, 7, 3)</f>
        <v>25569.3125</v>
      </c>
      <c r="B1562" s="6">
        <v>63.82</v>
      </c>
    </row>
    <row x14ac:dyDescent="0.25" r="1563" customHeight="1" ht="18.75">
      <c r="A1563" s="5">
        <f>DATE(2019, 7, 2)</f>
        <v>25569.3125</v>
      </c>
      <c r="B1563" s="6">
        <v>62.4</v>
      </c>
    </row>
    <row x14ac:dyDescent="0.25" r="1564" customHeight="1" ht="18.75">
      <c r="A1564" s="5">
        <f>DATE(2019, 7, 1)</f>
        <v>25569.3125</v>
      </c>
      <c r="B1564" s="6">
        <v>65.06</v>
      </c>
    </row>
    <row x14ac:dyDescent="0.25" r="1565" customHeight="1" ht="18.75">
      <c r="A1565" s="5">
        <f>DATE(2019, 6, 28)</f>
        <v>25569.3125</v>
      </c>
      <c r="B1565" s="6">
        <v>66.55</v>
      </c>
    </row>
    <row x14ac:dyDescent="0.25" r="1566" customHeight="1" ht="18.75">
      <c r="A1566" s="5">
        <f>DATE(2019, 6, 27)</f>
        <v>25569.3125</v>
      </c>
      <c r="B1566" s="6">
        <v>66.55</v>
      </c>
    </row>
    <row x14ac:dyDescent="0.25" r="1567" customHeight="1" ht="18.75">
      <c r="A1567" s="5">
        <f>DATE(2019, 6, 26)</f>
        <v>25569.3125</v>
      </c>
      <c r="B1567" s="6">
        <v>66.49</v>
      </c>
    </row>
    <row x14ac:dyDescent="0.25" r="1568" customHeight="1" ht="18.75">
      <c r="A1568" s="5">
        <f>DATE(2019, 6, 25)</f>
        <v>25569.3125</v>
      </c>
      <c r="B1568" s="6">
        <v>65.05</v>
      </c>
    </row>
    <row x14ac:dyDescent="0.25" r="1569" customHeight="1" ht="18.75">
      <c r="A1569" s="5">
        <f>DATE(2019, 6, 24)</f>
        <v>25569.3125</v>
      </c>
      <c r="B1569" s="6">
        <v>64.86</v>
      </c>
    </row>
    <row x14ac:dyDescent="0.25" r="1570" customHeight="1" ht="18.75">
      <c r="A1570" s="5">
        <f>DATE(2019, 6, 21)</f>
        <v>25569.3125</v>
      </c>
      <c r="B1570" s="6">
        <v>65.2</v>
      </c>
    </row>
    <row x14ac:dyDescent="0.25" r="1571" customHeight="1" ht="18.75">
      <c r="A1571" s="5">
        <f>DATE(2019, 6, 20)</f>
        <v>25569.3125</v>
      </c>
      <c r="B1571" s="6">
        <v>64.45</v>
      </c>
    </row>
    <row x14ac:dyDescent="0.25" r="1572" customHeight="1" ht="18.75">
      <c r="A1572" s="5">
        <f>DATE(2019, 6, 19)</f>
        <v>25569.3125</v>
      </c>
      <c r="B1572" s="6">
        <v>61.82</v>
      </c>
    </row>
    <row x14ac:dyDescent="0.25" r="1573" customHeight="1" ht="18.75">
      <c r="A1573" s="5">
        <f>DATE(2019, 6, 18)</f>
        <v>25569.3125</v>
      </c>
      <c r="B1573" s="6">
        <v>62.14</v>
      </c>
    </row>
    <row x14ac:dyDescent="0.25" r="1574" customHeight="1" ht="18.75">
      <c r="A1574" s="5">
        <f>DATE(2019, 6, 17)</f>
        <v>25569.3125</v>
      </c>
      <c r="B1574" s="6">
        <v>60.94</v>
      </c>
    </row>
    <row x14ac:dyDescent="0.25" r="1575" customHeight="1" ht="18.75">
      <c r="A1575" s="5">
        <f>DATE(2019, 6, 14)</f>
        <v>25569.3125</v>
      </c>
      <c r="B1575" s="6">
        <v>62.01</v>
      </c>
    </row>
    <row x14ac:dyDescent="0.25" r="1576" customHeight="1" ht="18.75">
      <c r="A1576" s="5">
        <f>DATE(2019, 6, 13)</f>
        <v>25569.3125</v>
      </c>
      <c r="B1576" s="6">
        <v>61.31</v>
      </c>
    </row>
    <row x14ac:dyDescent="0.25" r="1577" customHeight="1" ht="18.75">
      <c r="A1577" s="5">
        <f>DATE(2019, 6, 12)</f>
        <v>25569.3125</v>
      </c>
      <c r="B1577" s="6">
        <v>59.97</v>
      </c>
    </row>
    <row x14ac:dyDescent="0.25" r="1578" customHeight="1" ht="18.75">
      <c r="A1578" s="5">
        <f>DATE(2019, 6, 11)</f>
        <v>25569.3125</v>
      </c>
      <c r="B1578" s="6">
        <v>62.29</v>
      </c>
    </row>
    <row x14ac:dyDescent="0.25" r="1579" customHeight="1" ht="18.75">
      <c r="A1579" s="5">
        <f>DATE(2019, 6, 10)</f>
        <v>25569.3125</v>
      </c>
      <c r="B1579" s="6">
        <v>62.29</v>
      </c>
    </row>
    <row x14ac:dyDescent="0.25" r="1580" customHeight="1" ht="18.75">
      <c r="A1580" s="5">
        <f>DATE(2019, 6, 7)</f>
        <v>25569.3125</v>
      </c>
      <c r="B1580" s="6">
        <v>63.29</v>
      </c>
    </row>
    <row x14ac:dyDescent="0.25" r="1581" customHeight="1" ht="18.75">
      <c r="A1581" s="5">
        <f>DATE(2019, 6, 6)</f>
        <v>25569.3125</v>
      </c>
      <c r="B1581" s="6">
        <v>61.67</v>
      </c>
    </row>
    <row x14ac:dyDescent="0.25" r="1582" customHeight="1" ht="18.75">
      <c r="A1582" s="5">
        <f>DATE(2019, 6, 5)</f>
        <v>25569.3125</v>
      </c>
      <c r="B1582" s="6">
        <v>60.63</v>
      </c>
    </row>
    <row x14ac:dyDescent="0.25" r="1583" customHeight="1" ht="18.75">
      <c r="A1583" s="5">
        <f>DATE(2019, 6, 4)</f>
        <v>25569.3125</v>
      </c>
      <c r="B1583" s="6">
        <v>61.97</v>
      </c>
    </row>
    <row x14ac:dyDescent="0.25" r="1584" customHeight="1" ht="18.75">
      <c r="A1584" s="5">
        <f>DATE(2019, 6, 3)</f>
        <v>25569.3125</v>
      </c>
      <c r="B1584" s="6">
        <v>61.28</v>
      </c>
    </row>
    <row x14ac:dyDescent="0.25" r="1585" customHeight="1" ht="18.75">
      <c r="A1585" s="5">
        <f>DATE(2019, 5, 31)</f>
        <v>25569.3125</v>
      </c>
      <c r="B1585" s="6">
        <v>64.49</v>
      </c>
    </row>
    <row x14ac:dyDescent="0.25" r="1586" customHeight="1" ht="18.75">
      <c r="A1586" s="5">
        <f>DATE(2019, 5, 30)</f>
        <v>25569.3125</v>
      </c>
      <c r="B1586" s="6">
        <v>66.87</v>
      </c>
    </row>
    <row x14ac:dyDescent="0.25" r="1587" customHeight="1" ht="18.75">
      <c r="A1587" s="5">
        <f>DATE(2019, 5, 29)</f>
        <v>25569.3125</v>
      </c>
      <c r="B1587" s="6">
        <v>69.45</v>
      </c>
    </row>
    <row x14ac:dyDescent="0.25" r="1588" customHeight="1" ht="18.75">
      <c r="A1588" s="5">
        <f>DATE(2019, 5, 28)</f>
        <v>25569.3125</v>
      </c>
      <c r="B1588" s="6">
        <v>70.11</v>
      </c>
    </row>
    <row x14ac:dyDescent="0.25" r="1589" customHeight="1" ht="18.75">
      <c r="A1589" s="5">
        <f>DATE(2019, 5, 27)</f>
        <v>25569.3125</v>
      </c>
      <c r="B1589" s="6">
        <v>70.11</v>
      </c>
    </row>
    <row x14ac:dyDescent="0.25" r="1590" customHeight="1" ht="18.75">
      <c r="A1590" s="5">
        <f>DATE(2019, 5, 24)</f>
        <v>25569.3125</v>
      </c>
      <c r="B1590" s="6">
        <v>68.69</v>
      </c>
    </row>
    <row x14ac:dyDescent="0.25" r="1591" customHeight="1" ht="18.75">
      <c r="A1591" s="5">
        <f>DATE(2019, 5, 23)</f>
        <v>25569.3125</v>
      </c>
      <c r="B1591" s="6">
        <v>67.76</v>
      </c>
    </row>
    <row x14ac:dyDescent="0.25" r="1592" customHeight="1" ht="18.75">
      <c r="A1592" s="5">
        <f>DATE(2019, 5, 22)</f>
        <v>25569.3125</v>
      </c>
      <c r="B1592" s="6">
        <v>70.99</v>
      </c>
    </row>
    <row x14ac:dyDescent="0.25" r="1593" customHeight="1" ht="18.75">
      <c r="A1593" s="5">
        <f>DATE(2019, 5, 21)</f>
        <v>25569.3125</v>
      </c>
      <c r="B1593" s="6">
        <v>72.18</v>
      </c>
    </row>
    <row x14ac:dyDescent="0.25" r="1594" customHeight="1" ht="18.75">
      <c r="A1594" s="5">
        <f>DATE(2019, 5, 20)</f>
        <v>25569.3125</v>
      </c>
      <c r="B1594" s="6">
        <v>71.97</v>
      </c>
    </row>
    <row x14ac:dyDescent="0.25" r="1595" customHeight="1" ht="18.75">
      <c r="A1595" s="5">
        <f>DATE(2019, 5, 17)</f>
        <v>25569.3125</v>
      </c>
      <c r="B1595" s="6">
        <v>72.21</v>
      </c>
    </row>
    <row x14ac:dyDescent="0.25" r="1596" customHeight="1" ht="18.75">
      <c r="A1596" s="5">
        <f>DATE(2019, 5, 16)</f>
        <v>25569.3125</v>
      </c>
      <c r="B1596" s="6">
        <v>72.62</v>
      </c>
    </row>
    <row x14ac:dyDescent="0.25" r="1597" customHeight="1" ht="18.75">
      <c r="A1597" s="5">
        <f>DATE(2019, 5, 15)</f>
        <v>25569.3125</v>
      </c>
      <c r="B1597" s="6">
        <v>71.77</v>
      </c>
    </row>
    <row x14ac:dyDescent="0.25" r="1598" customHeight="1" ht="18.75">
      <c r="A1598" s="5">
        <f>DATE(2019, 5, 14)</f>
        <v>25569.3125</v>
      </c>
      <c r="B1598" s="6">
        <v>71.24</v>
      </c>
    </row>
    <row x14ac:dyDescent="0.25" r="1599" customHeight="1" ht="18.75">
      <c r="A1599" s="5">
        <f>DATE(2019, 5, 13)</f>
        <v>25569.3125</v>
      </c>
      <c r="B1599" s="6">
        <v>70.23</v>
      </c>
    </row>
    <row x14ac:dyDescent="0.25" r="1600" customHeight="1" ht="18.75">
      <c r="A1600" s="5">
        <f>DATE(2019, 5, 10)</f>
        <v>25569.3125</v>
      </c>
      <c r="B1600" s="6">
        <v>70.62</v>
      </c>
    </row>
    <row x14ac:dyDescent="0.25" r="1601" customHeight="1" ht="18.75">
      <c r="A1601" s="5">
        <f>DATE(2019, 5, 9)</f>
        <v>25569.3125</v>
      </c>
      <c r="B1601" s="6">
        <v>70.39</v>
      </c>
    </row>
    <row x14ac:dyDescent="0.25" r="1602" customHeight="1" ht="18.75">
      <c r="A1602" s="5">
        <f>DATE(2019, 5, 8)</f>
        <v>25569.3125</v>
      </c>
      <c r="B1602" s="6">
        <v>70.37</v>
      </c>
    </row>
    <row x14ac:dyDescent="0.25" r="1603" customHeight="1" ht="18.75">
      <c r="A1603" s="5">
        <f>DATE(2019, 5, 7)</f>
        <v>25569.3125</v>
      </c>
      <c r="B1603" s="6">
        <v>69.88</v>
      </c>
    </row>
    <row x14ac:dyDescent="0.25" r="1604" customHeight="1" ht="18.75">
      <c r="A1604" s="5">
        <f>DATE(2019, 5, 6)</f>
        <v>25569.3125</v>
      </c>
      <c r="B1604" s="6">
        <v>71.24</v>
      </c>
    </row>
    <row x14ac:dyDescent="0.25" r="1605" customHeight="1" ht="18.75">
      <c r="A1605" s="5">
        <f>DATE(2019, 5, 3)</f>
        <v>25569.3125</v>
      </c>
      <c r="B1605" s="6">
        <v>70.85</v>
      </c>
    </row>
    <row x14ac:dyDescent="0.25" r="1606" customHeight="1" ht="18.75">
      <c r="A1606" s="5">
        <f>DATE(2019, 5, 2)</f>
        <v>25569.3125</v>
      </c>
      <c r="B1606" s="6">
        <v>70.75</v>
      </c>
    </row>
    <row x14ac:dyDescent="0.25" r="1607" customHeight="1" ht="18.75">
      <c r="A1607" s="5">
        <f>DATE(2019, 5, 1)</f>
        <v>25569.3125</v>
      </c>
      <c r="B1607" s="6">
        <v>72.18</v>
      </c>
    </row>
    <row x14ac:dyDescent="0.25" r="1608" customHeight="1" ht="18.75">
      <c r="A1608" s="5">
        <f>DATE(2019, 4, 30)</f>
        <v>25569.3125</v>
      </c>
      <c r="B1608" s="6">
        <v>72.8</v>
      </c>
    </row>
    <row x14ac:dyDescent="0.25" r="1609" customHeight="1" ht="18.75">
      <c r="A1609" s="5">
        <f>DATE(2019, 4, 29)</f>
        <v>25569.3125</v>
      </c>
      <c r="B1609" s="6">
        <v>72.04</v>
      </c>
    </row>
    <row x14ac:dyDescent="0.25" r="1610" customHeight="1" ht="18.75">
      <c r="A1610" s="5">
        <f>DATE(2019, 4, 26)</f>
        <v>25569.3125</v>
      </c>
      <c r="B1610" s="6">
        <v>72.15</v>
      </c>
    </row>
    <row x14ac:dyDescent="0.25" r="1611" customHeight="1" ht="18.75">
      <c r="A1611" s="5">
        <f>DATE(2019, 4, 25)</f>
        <v>25569.3125</v>
      </c>
      <c r="B1611" s="6">
        <v>74.35</v>
      </c>
    </row>
    <row x14ac:dyDescent="0.25" r="1612" customHeight="1" ht="18.75">
      <c r="A1612" s="5">
        <f>DATE(2019, 4, 24)</f>
        <v>25569.3125</v>
      </c>
      <c r="B1612" s="6">
        <v>74.57</v>
      </c>
    </row>
    <row x14ac:dyDescent="0.25" r="1613" customHeight="1" ht="18.75">
      <c r="A1613" s="5">
        <f>DATE(2019, 4, 23)</f>
        <v>25569.3125</v>
      </c>
      <c r="B1613" s="6">
        <v>74.51</v>
      </c>
    </row>
    <row x14ac:dyDescent="0.25" r="1614" customHeight="1" ht="18.75">
      <c r="A1614" s="5">
        <f>DATE(2019, 4, 22)</f>
        <v>25569.3125</v>
      </c>
      <c r="B1614" s="6">
        <v>74.04</v>
      </c>
    </row>
    <row x14ac:dyDescent="0.25" r="1615" customHeight="1" ht="18.75">
      <c r="A1615" s="5">
        <f>DATE(2019, 4, 19)</f>
        <v>25569.3125</v>
      </c>
      <c r="B1615" s="6">
        <v>71.97</v>
      </c>
    </row>
    <row x14ac:dyDescent="0.25" r="1616" customHeight="1" ht="18.75">
      <c r="A1616" s="5">
        <f>DATE(2019, 4, 18)</f>
        <v>25569.3125</v>
      </c>
      <c r="B1616" s="6">
        <v>71.97</v>
      </c>
    </row>
    <row x14ac:dyDescent="0.25" r="1617" customHeight="1" ht="18.75">
      <c r="A1617" s="5">
        <f>DATE(2019, 4, 17)</f>
        <v>25569.3125</v>
      </c>
      <c r="B1617" s="6">
        <v>71.62</v>
      </c>
    </row>
    <row x14ac:dyDescent="0.25" r="1618" customHeight="1" ht="18.75">
      <c r="A1618" s="5">
        <f>DATE(2019, 4, 16)</f>
        <v>25569.3125</v>
      </c>
      <c r="B1618" s="6">
        <v>71.72</v>
      </c>
    </row>
    <row x14ac:dyDescent="0.25" r="1619" customHeight="1" ht="18.75">
      <c r="A1619" s="5">
        <f>DATE(2019, 4, 15)</f>
        <v>25569.3125</v>
      </c>
      <c r="B1619" s="6">
        <v>71.18</v>
      </c>
    </row>
    <row x14ac:dyDescent="0.25" r="1620" customHeight="1" ht="18.75">
      <c r="A1620" s="5">
        <f>DATE(2019, 4, 12)</f>
        <v>25569.3125</v>
      </c>
      <c r="B1620" s="6">
        <v>71.55</v>
      </c>
    </row>
    <row x14ac:dyDescent="0.25" r="1621" customHeight="1" ht="18.75">
      <c r="A1621" s="5">
        <f>DATE(2019, 4, 11)</f>
        <v>25569.3125</v>
      </c>
      <c r="B1621" s="6">
        <v>70.83</v>
      </c>
    </row>
    <row x14ac:dyDescent="0.25" r="1622" customHeight="1" ht="18.75">
      <c r="A1622" s="5">
        <f>DATE(2019, 4, 10)</f>
        <v>25569.3125</v>
      </c>
      <c r="B1622" s="6">
        <v>71.73</v>
      </c>
    </row>
    <row x14ac:dyDescent="0.25" r="1623" customHeight="1" ht="18.75">
      <c r="A1623" s="5">
        <f>DATE(2019, 4, 9)</f>
        <v>25569.3125</v>
      </c>
      <c r="B1623" s="6">
        <v>70.61</v>
      </c>
    </row>
    <row x14ac:dyDescent="0.25" r="1624" customHeight="1" ht="18.75">
      <c r="A1624" s="5">
        <f>DATE(2019, 4, 8)</f>
        <v>25569.3125</v>
      </c>
      <c r="B1624" s="6">
        <v>71.1</v>
      </c>
    </row>
    <row x14ac:dyDescent="0.25" r="1625" customHeight="1" ht="18.75">
      <c r="A1625" s="5">
        <f>DATE(2019, 4, 5)</f>
        <v>25569.3125</v>
      </c>
      <c r="B1625" s="6">
        <v>70.34</v>
      </c>
    </row>
    <row x14ac:dyDescent="0.25" r="1626" customHeight="1" ht="18.75">
      <c r="A1626" s="5">
        <f>DATE(2019, 4, 4)</f>
        <v>25569.3125</v>
      </c>
      <c r="B1626" s="6">
        <v>69.4</v>
      </c>
    </row>
    <row x14ac:dyDescent="0.25" r="1627" customHeight="1" ht="18.75">
      <c r="A1627" s="5">
        <f>DATE(2019, 4, 3)</f>
        <v>25569.3125</v>
      </c>
      <c r="B1627" s="6">
        <v>69.31</v>
      </c>
    </row>
    <row x14ac:dyDescent="0.25" r="1628" customHeight="1" ht="18.75">
      <c r="A1628" s="5">
        <f>DATE(2019, 4, 2)</f>
        <v>25569.3125</v>
      </c>
      <c r="B1628" s="6">
        <v>69.37</v>
      </c>
    </row>
    <row x14ac:dyDescent="0.25" r="1629" customHeight="1" ht="18.75">
      <c r="A1629" s="5">
        <f>DATE(2019, 4, 1)</f>
        <v>25569.3125</v>
      </c>
      <c r="B1629" s="6">
        <v>69.01</v>
      </c>
    </row>
    <row x14ac:dyDescent="0.25" r="1630" customHeight="1" ht="18.75">
      <c r="A1630" s="5">
        <f>DATE(2019, 3, 29)</f>
        <v>25569.3125</v>
      </c>
      <c r="B1630" s="6">
        <v>68.39</v>
      </c>
    </row>
    <row x14ac:dyDescent="0.25" r="1631" customHeight="1" ht="18.75">
      <c r="A1631" s="5">
        <f>DATE(2019, 3, 28)</f>
        <v>25569.3125</v>
      </c>
      <c r="B1631" s="6">
        <v>67.82</v>
      </c>
    </row>
    <row x14ac:dyDescent="0.25" r="1632" customHeight="1" ht="18.75">
      <c r="A1632" s="5">
        <f>DATE(2019, 3, 27)</f>
        <v>25569.3125</v>
      </c>
      <c r="B1632" s="6">
        <v>67.83</v>
      </c>
    </row>
    <row x14ac:dyDescent="0.25" r="1633" customHeight="1" ht="18.75">
      <c r="A1633" s="5">
        <f>DATE(2019, 3, 26)</f>
        <v>25569.3125</v>
      </c>
      <c r="B1633" s="6">
        <v>67.97</v>
      </c>
    </row>
    <row x14ac:dyDescent="0.25" r="1634" customHeight="1" ht="18.75">
      <c r="A1634" s="5">
        <f>DATE(2019, 3, 25)</f>
        <v>25569.3125</v>
      </c>
      <c r="B1634" s="6">
        <v>67.21</v>
      </c>
    </row>
    <row x14ac:dyDescent="0.25" r="1635" customHeight="1" ht="18.75">
      <c r="A1635" s="5">
        <f>DATE(2019, 3, 22)</f>
        <v>25569.3125</v>
      </c>
      <c r="B1635" s="6">
        <v>67.03</v>
      </c>
    </row>
    <row x14ac:dyDescent="0.25" r="1636" customHeight="1" ht="18.75">
      <c r="A1636" s="5">
        <f>DATE(2019, 3, 21)</f>
        <v>25569.3125</v>
      </c>
      <c r="B1636" s="6">
        <v>67.86</v>
      </c>
    </row>
    <row x14ac:dyDescent="0.25" r="1637" customHeight="1" ht="18.75">
      <c r="A1637" s="5">
        <f>DATE(2019, 3, 20)</f>
        <v>25569.3125</v>
      </c>
      <c r="B1637" s="6">
        <v>68.5</v>
      </c>
    </row>
    <row x14ac:dyDescent="0.25" r="1638" customHeight="1" ht="18.75">
      <c r="A1638" s="5">
        <f>DATE(2019, 3, 19)</f>
        <v>25569.3125</v>
      </c>
      <c r="B1638" s="6">
        <v>67.61</v>
      </c>
    </row>
    <row x14ac:dyDescent="0.25" r="1639" customHeight="1" ht="18.75">
      <c r="A1639" s="5">
        <f>DATE(2019, 3, 18)</f>
        <v>25569.3125</v>
      </c>
      <c r="B1639" s="6">
        <v>67.54</v>
      </c>
    </row>
    <row x14ac:dyDescent="0.25" r="1640" customHeight="1" ht="18.75">
      <c r="A1640" s="5">
        <f>DATE(2019, 3, 15)</f>
        <v>25569.3125</v>
      </c>
      <c r="B1640" s="6">
        <v>67.16</v>
      </c>
    </row>
    <row x14ac:dyDescent="0.25" r="1641" customHeight="1" ht="18.75">
      <c r="A1641" s="5">
        <f>DATE(2019, 3, 14)</f>
        <v>25569.3125</v>
      </c>
      <c r="B1641" s="6">
        <v>67.23</v>
      </c>
    </row>
    <row x14ac:dyDescent="0.25" r="1642" customHeight="1" ht="18.75">
      <c r="A1642" s="5">
        <f>DATE(2019, 3, 13)</f>
        <v>25569.3125</v>
      </c>
      <c r="B1642" s="6">
        <v>67.55</v>
      </c>
    </row>
    <row x14ac:dyDescent="0.25" r="1643" customHeight="1" ht="18.75">
      <c r="A1643" s="5">
        <f>DATE(2019, 3, 12)</f>
        <v>25569.3125</v>
      </c>
      <c r="B1643" s="6">
        <v>66.67</v>
      </c>
    </row>
    <row x14ac:dyDescent="0.25" r="1644" customHeight="1" ht="18.75">
      <c r="A1644" s="5">
        <f>DATE(2019, 3, 11)</f>
        <v>25569.3125</v>
      </c>
      <c r="B1644" s="6">
        <v>66.58</v>
      </c>
    </row>
    <row x14ac:dyDescent="0.25" r="1645" customHeight="1" ht="18.75">
      <c r="A1645" s="5">
        <f>DATE(2019, 3, 8)</f>
        <v>25569.3125</v>
      </c>
      <c r="B1645" s="6">
        <v>65.74</v>
      </c>
    </row>
    <row x14ac:dyDescent="0.25" r="1646" customHeight="1" ht="18.75">
      <c r="A1646" s="5">
        <f>DATE(2019, 3, 7)</f>
        <v>25569.3125</v>
      </c>
      <c r="B1646" s="6">
        <v>66.3</v>
      </c>
    </row>
    <row x14ac:dyDescent="0.25" r="1647" customHeight="1" ht="18.75">
      <c r="A1647" s="5">
        <f>DATE(2019, 3, 6)</f>
        <v>25569.3125</v>
      </c>
      <c r="B1647" s="6">
        <v>65.99</v>
      </c>
    </row>
    <row x14ac:dyDescent="0.25" r="1648" customHeight="1" ht="18.75">
      <c r="A1648" s="5">
        <f>DATE(2019, 3, 5)</f>
        <v>25569.3125</v>
      </c>
      <c r="B1648" s="6">
        <v>65.86</v>
      </c>
    </row>
    <row x14ac:dyDescent="0.25" r="1649" customHeight="1" ht="18.75">
      <c r="A1649" s="5">
        <f>DATE(2019, 3, 4)</f>
        <v>25569.3125</v>
      </c>
      <c r="B1649" s="6">
        <v>65.67</v>
      </c>
    </row>
    <row x14ac:dyDescent="0.25" r="1650" customHeight="1" ht="18.75">
      <c r="A1650" s="5">
        <f>DATE(2019, 3, 1)</f>
        <v>25569.3125</v>
      </c>
      <c r="B1650" s="6">
        <v>65.07</v>
      </c>
    </row>
    <row x14ac:dyDescent="0.25" r="1651" customHeight="1" ht="18.75">
      <c r="A1651" s="5">
        <f>DATE(2019, 2, 28)</f>
        <v>25569.3125</v>
      </c>
      <c r="B1651" s="6">
        <v>66.03</v>
      </c>
    </row>
    <row x14ac:dyDescent="0.25" r="1652" customHeight="1" ht="18.75">
      <c r="A1652" s="5">
        <f>DATE(2019, 2, 27)</f>
        <v>25569.3125</v>
      </c>
      <c r="B1652" s="6">
        <v>66.39</v>
      </c>
    </row>
    <row x14ac:dyDescent="0.25" r="1653" customHeight="1" ht="18.75">
      <c r="A1653" s="5">
        <f>DATE(2019, 2, 26)</f>
        <v>25569.3125</v>
      </c>
      <c r="B1653" s="6">
        <v>65.21</v>
      </c>
    </row>
    <row x14ac:dyDescent="0.25" r="1654" customHeight="1" ht="18.75">
      <c r="A1654" s="5">
        <f>DATE(2019, 2, 25)</f>
        <v>25569.3125</v>
      </c>
      <c r="B1654" s="6">
        <v>64.76</v>
      </c>
    </row>
    <row x14ac:dyDescent="0.25" r="1655" customHeight="1" ht="18.75">
      <c r="A1655" s="5">
        <f>DATE(2019, 2, 22)</f>
        <v>25569.3125</v>
      </c>
      <c r="B1655" s="6">
        <v>67.12</v>
      </c>
    </row>
    <row x14ac:dyDescent="0.25" r="1656" customHeight="1" ht="18.75">
      <c r="A1656" s="5">
        <f>DATE(2019, 2, 21)</f>
        <v>25569.3125</v>
      </c>
      <c r="B1656" s="6">
        <v>67.07</v>
      </c>
    </row>
    <row x14ac:dyDescent="0.25" r="1657" customHeight="1" ht="18.75">
      <c r="A1657" s="5">
        <f>DATE(2019, 2, 20)</f>
        <v>25569.3125</v>
      </c>
      <c r="B1657" s="6">
        <v>67.08</v>
      </c>
    </row>
    <row x14ac:dyDescent="0.25" r="1658" customHeight="1" ht="18.75">
      <c r="A1658" s="5">
        <f>DATE(2019, 2, 19)</f>
        <v>25569.3125</v>
      </c>
      <c r="B1658" s="6">
        <v>66.45</v>
      </c>
    </row>
    <row x14ac:dyDescent="0.25" r="1659" customHeight="1" ht="18.75">
      <c r="A1659" s="5">
        <f>DATE(2019, 2, 18)</f>
        <v>25569.3125</v>
      </c>
      <c r="B1659" s="6">
        <v>66.5</v>
      </c>
    </row>
    <row x14ac:dyDescent="0.25" r="1660" customHeight="1" ht="18.75">
      <c r="A1660" s="5">
        <f>DATE(2019, 2, 15)</f>
        <v>25569.3125</v>
      </c>
      <c r="B1660" s="6">
        <v>66.25</v>
      </c>
    </row>
    <row x14ac:dyDescent="0.25" r="1661" customHeight="1" ht="18.75">
      <c r="A1661" s="5">
        <f>DATE(2019, 2, 14)</f>
        <v>25569.3125</v>
      </c>
      <c r="B1661" s="6">
        <v>64.57</v>
      </c>
    </row>
    <row x14ac:dyDescent="0.25" r="1662" customHeight="1" ht="18.75">
      <c r="A1662" s="5">
        <f>DATE(2019, 2, 13)</f>
        <v>25569.3125</v>
      </c>
      <c r="B1662" s="6">
        <v>63.61</v>
      </c>
    </row>
    <row x14ac:dyDescent="0.25" r="1663" customHeight="1" ht="18.75">
      <c r="A1663" s="5">
        <f>DATE(2019, 2, 12)</f>
        <v>25569.3125</v>
      </c>
      <c r="B1663" s="6">
        <v>62.42</v>
      </c>
    </row>
    <row x14ac:dyDescent="0.25" r="1664" customHeight="1" ht="18.75">
      <c r="A1664" s="5">
        <f>DATE(2019, 2, 11)</f>
        <v>25569.3125</v>
      </c>
      <c r="B1664" s="6">
        <v>61.51</v>
      </c>
    </row>
    <row x14ac:dyDescent="0.25" r="1665" customHeight="1" ht="18.75">
      <c r="A1665" s="5">
        <f>DATE(2019, 2, 8)</f>
        <v>25569.3125</v>
      </c>
      <c r="B1665" s="6">
        <v>62.1</v>
      </c>
    </row>
    <row x14ac:dyDescent="0.25" r="1666" customHeight="1" ht="18.75">
      <c r="A1666" s="5">
        <f>DATE(2019, 2, 7)</f>
        <v>25569.3125</v>
      </c>
      <c r="B1666" s="6">
        <v>61.63</v>
      </c>
    </row>
    <row x14ac:dyDescent="0.25" r="1667" customHeight="1" ht="18.75">
      <c r="A1667" s="5">
        <f>DATE(2019, 2, 6)</f>
        <v>25569.3125</v>
      </c>
      <c r="B1667" s="6">
        <v>62.69</v>
      </c>
    </row>
    <row x14ac:dyDescent="0.25" r="1668" customHeight="1" ht="18.75">
      <c r="A1668" s="5">
        <f>DATE(2019, 2, 5)</f>
        <v>25569.3125</v>
      </c>
      <c r="B1668" s="6">
        <v>61.98</v>
      </c>
    </row>
    <row x14ac:dyDescent="0.25" r="1669" customHeight="1" ht="18.75">
      <c r="A1669" s="5">
        <f>DATE(2019, 2, 4)</f>
        <v>25569.3125</v>
      </c>
      <c r="B1669" s="6">
        <v>62.51</v>
      </c>
    </row>
    <row x14ac:dyDescent="0.25" r="1670" customHeight="1" ht="18.75">
      <c r="A1670" s="5">
        <f>DATE(2019, 2, 1)</f>
        <v>25569.3125</v>
      </c>
      <c r="B1670" s="6">
        <v>62.75</v>
      </c>
    </row>
    <row x14ac:dyDescent="0.25" r="1671" customHeight="1" ht="18.75">
      <c r="A1671" s="5">
        <f>DATE(2019, 1, 31)</f>
        <v>25569.3125</v>
      </c>
      <c r="B1671" s="6">
        <v>61.89</v>
      </c>
    </row>
    <row x14ac:dyDescent="0.25" r="1672" customHeight="1" ht="18.75">
      <c r="A1672" s="5">
        <f>DATE(2019, 1, 30)</f>
        <v>25569.3125</v>
      </c>
      <c r="B1672" s="6">
        <v>61.65</v>
      </c>
    </row>
    <row x14ac:dyDescent="0.25" r="1673" customHeight="1" ht="18.75">
      <c r="A1673" s="5">
        <f>DATE(2019, 1, 29)</f>
        <v>25569.3125</v>
      </c>
      <c r="B1673" s="6">
        <v>61.32</v>
      </c>
    </row>
    <row x14ac:dyDescent="0.25" r="1674" customHeight="1" ht="18.75">
      <c r="A1674" s="5">
        <f>DATE(2019, 1, 28)</f>
        <v>25569.3125</v>
      </c>
      <c r="B1674" s="6">
        <v>59.93</v>
      </c>
    </row>
    <row x14ac:dyDescent="0.25" r="1675" customHeight="1" ht="18.75">
      <c r="A1675" s="5">
        <f>DATE(2019, 1, 25)</f>
        <v>25569.3125</v>
      </c>
      <c r="B1675" s="6">
        <v>61.64</v>
      </c>
    </row>
    <row x14ac:dyDescent="0.25" r="1676" customHeight="1" ht="18.75">
      <c r="A1676" s="5">
        <f>DATE(2019, 1, 24)</f>
        <v>25569.3125</v>
      </c>
      <c r="B1676" s="6">
        <v>61.09</v>
      </c>
    </row>
    <row x14ac:dyDescent="0.25" r="1677" customHeight="1" ht="18.75">
      <c r="A1677" s="5">
        <f>DATE(2019, 1, 23)</f>
        <v>25569.3125</v>
      </c>
      <c r="B1677" s="6">
        <v>61.14</v>
      </c>
    </row>
    <row x14ac:dyDescent="0.25" r="1678" customHeight="1" ht="18.75">
      <c r="A1678" s="5">
        <f>DATE(2019, 1, 22)</f>
        <v>25569.3125</v>
      </c>
      <c r="B1678" s="6">
        <v>61.5</v>
      </c>
    </row>
    <row x14ac:dyDescent="0.25" r="1679" customHeight="1" ht="18.75">
      <c r="A1679" s="5">
        <f>DATE(2019, 1, 21)</f>
        <v>25569.3125</v>
      </c>
      <c r="B1679" s="6">
        <v>62.74</v>
      </c>
    </row>
    <row x14ac:dyDescent="0.25" r="1680" customHeight="1" ht="18.75">
      <c r="A1680" s="5">
        <f>DATE(2019, 1, 18)</f>
        <v>25569.3125</v>
      </c>
      <c r="B1680" s="6">
        <v>62.7</v>
      </c>
    </row>
    <row x14ac:dyDescent="0.25" r="1681" customHeight="1" ht="18.75">
      <c r="A1681" s="5">
        <f>DATE(2019, 1, 17)</f>
        <v>25569.3125</v>
      </c>
      <c r="B1681" s="6">
        <v>61.18</v>
      </c>
    </row>
    <row x14ac:dyDescent="0.25" r="1682" customHeight="1" ht="18.75">
      <c r="A1682" s="5">
        <f>DATE(2019, 1, 16)</f>
        <v>25569.3125</v>
      </c>
      <c r="B1682" s="6">
        <v>61.32</v>
      </c>
    </row>
    <row x14ac:dyDescent="0.25" r="1683" customHeight="1" ht="18.75">
      <c r="A1683" s="5">
        <f>DATE(2019, 1, 15)</f>
        <v>25569.3125</v>
      </c>
      <c r="B1683" s="6">
        <v>60.64</v>
      </c>
    </row>
    <row x14ac:dyDescent="0.25" r="1684" customHeight="1" ht="18.75">
      <c r="A1684" s="5">
        <f>DATE(2019, 1, 14)</f>
        <v>25569.3125</v>
      </c>
      <c r="B1684" s="6">
        <v>58.99</v>
      </c>
    </row>
    <row x14ac:dyDescent="0.25" r="1685" customHeight="1" ht="18.75">
      <c r="A1685" s="5">
        <f>DATE(2019, 1, 11)</f>
        <v>25569.3125</v>
      </c>
      <c r="B1685" s="6">
        <v>60.48</v>
      </c>
    </row>
    <row x14ac:dyDescent="0.25" r="1686" customHeight="1" ht="18.75">
      <c r="A1686" s="5">
        <f>DATE(2019, 1, 10)</f>
        <v>25569.3125</v>
      </c>
      <c r="B1686" s="6">
        <v>61.68</v>
      </c>
    </row>
    <row x14ac:dyDescent="0.25" r="1687" customHeight="1" ht="18.75">
      <c r="A1687" s="5">
        <f>DATE(2019, 1, 9)</f>
        <v>25569.3125</v>
      </c>
      <c r="B1687" s="6">
        <v>61.44</v>
      </c>
    </row>
    <row x14ac:dyDescent="0.25" r="1688" customHeight="1" ht="18.75">
      <c r="A1688" s="5">
        <f>DATE(2019, 1, 8)</f>
        <v>25569.3125</v>
      </c>
      <c r="B1688" s="6">
        <v>58.72</v>
      </c>
    </row>
    <row x14ac:dyDescent="0.25" r="1689" customHeight="1" ht="18.75">
      <c r="A1689" s="5">
        <f>DATE(2019, 1, 7)</f>
        <v>25569.3125</v>
      </c>
      <c r="B1689" s="6">
        <v>57.33</v>
      </c>
    </row>
    <row x14ac:dyDescent="0.25" r="1690" customHeight="1" ht="18.75">
      <c r="A1690" s="5">
        <f>DATE(2019, 1, 4)</f>
        <v>25569.3125</v>
      </c>
      <c r="B1690" s="6">
        <v>57.06</v>
      </c>
    </row>
    <row x14ac:dyDescent="0.25" r="1691" customHeight="1" ht="18.75">
      <c r="A1691" s="5">
        <f>DATE(2019, 1, 3)</f>
        <v>25569.3125</v>
      </c>
      <c r="B1691" s="6">
        <v>55.95</v>
      </c>
    </row>
    <row x14ac:dyDescent="0.25" r="1692" customHeight="1" ht="18.75">
      <c r="A1692" s="5">
        <f>DATE(2019, 1, 2)</f>
        <v>25569.3125</v>
      </c>
      <c r="B1692" s="6">
        <v>54.91</v>
      </c>
    </row>
    <row x14ac:dyDescent="0.25" r="1693" customHeight="1" ht="18.75">
      <c r="A1693" s="5">
        <f>DATE(2019, 1, 1)</f>
        <v>25569.3125</v>
      </c>
      <c r="B1693" s="6">
        <f>IF(ISERROR(_xll.Storm.ExcelMacros.GvDaily("/BRN", B$2, A1693, "", "", "", , "p#", , , , , "/BRN", "Hundredths", , FALSE, )), 53.8, _xll.Storm.ExcelMacros.GvDaily("/BRN", B$2, A1693, "", "", "", , "p#", , , , , "/BRN", "Hundredths", , FALSE, ))</f>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sentiment_v2_with_reasoning</vt:lpstr>
      <vt:lpstr>Sheet1</vt:lpstr>
      <vt:lpstr>Sheet2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2025-06-24T06:27:31.832Z</dcterms:created>
  <dcterms:modified xsi:type="dcterms:W3CDTF">2025-06-24T06:27:31.832Z</dcterms:modified>
</cp:coreProperties>
</file>