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anto\OneDrive\Pulpit\FINANSE I RACHUNKOWOŚĆ\PROJEKT FIR\"/>
    </mc:Choice>
  </mc:AlternateContent>
  <xr:revisionPtr revIDLastSave="0" documentId="13_ncr:1_{8F099174-6C80-448F-80B3-CCC45CC8BB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STĘP" sheetId="1" r:id="rId1"/>
    <sheet name="AKTYWA ANALIZA" sheetId="2" r:id="rId2"/>
    <sheet name="PASYWA ANALIZA" sheetId="3" r:id="rId3"/>
    <sheet name="RACHUNEK ZYSKÓW I STRAT" sheetId="4" r:id="rId4"/>
    <sheet name="PRZEPŁYWY PIENIĘŻNE" sheetId="5" r:id="rId5"/>
    <sheet name="ANALIZA WSKAŹNIKOWA" sheetId="6" r:id="rId6"/>
  </sheets>
  <definedNames>
    <definedName name="_xlchart.v1.0" hidden="1">('AKTYWA ANALIZA'!$B$5,'AKTYWA ANALIZA'!$B$11)</definedName>
    <definedName name="_xlchart.v1.1" hidden="1">('AKTYWA ANALIZA'!$C$5,'AKTYWA ANALIZA'!$C$11)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6" l="1"/>
  <c r="D44" i="6"/>
  <c r="C44" i="6"/>
  <c r="E43" i="6"/>
  <c r="D43" i="6"/>
  <c r="C43" i="6"/>
  <c r="E42" i="6"/>
  <c r="D42" i="6"/>
  <c r="C42" i="6"/>
  <c r="E38" i="6"/>
  <c r="D38" i="6"/>
  <c r="C38" i="6"/>
  <c r="C39" i="6" s="1"/>
  <c r="E37" i="6"/>
  <c r="D37" i="6"/>
  <c r="C37" i="6"/>
  <c r="E36" i="6"/>
  <c r="E39" i="6" s="1"/>
  <c r="D36" i="6"/>
  <c r="D39" i="6" s="1"/>
  <c r="C36" i="6"/>
  <c r="E35" i="6"/>
  <c r="D35" i="6"/>
  <c r="C35" i="6"/>
  <c r="E32" i="6"/>
  <c r="D32" i="6"/>
  <c r="C32" i="6"/>
  <c r="E31" i="6"/>
  <c r="D31" i="6"/>
  <c r="C31" i="6"/>
  <c r="E30" i="6"/>
  <c r="D30" i="6"/>
  <c r="C30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5" i="6"/>
  <c r="D15" i="6"/>
  <c r="C15" i="6"/>
  <c r="E14" i="6"/>
  <c r="D14" i="6"/>
  <c r="C14" i="6"/>
  <c r="E13" i="6"/>
  <c r="D13" i="6"/>
  <c r="C13" i="6"/>
  <c r="D12" i="6"/>
  <c r="C12" i="6"/>
  <c r="E11" i="6"/>
  <c r="D11" i="6"/>
  <c r="C11" i="6"/>
  <c r="E10" i="6"/>
  <c r="D10" i="6"/>
  <c r="C10" i="6"/>
  <c r="E9" i="6"/>
  <c r="D9" i="6"/>
  <c r="C9" i="6"/>
  <c r="E7" i="6"/>
  <c r="D7" i="6"/>
  <c r="C7" i="6"/>
  <c r="E6" i="6"/>
  <c r="D6" i="6"/>
  <c r="C6" i="6"/>
  <c r="E5" i="6"/>
  <c r="D5" i="6"/>
  <c r="C5" i="6"/>
  <c r="E4" i="6"/>
  <c r="D4" i="6"/>
  <c r="C4" i="6"/>
  <c r="E51" i="5"/>
  <c r="E54" i="5" s="1"/>
  <c r="D51" i="5"/>
  <c r="D54" i="5" s="1"/>
  <c r="C51" i="5"/>
  <c r="C54" i="5" s="1"/>
  <c r="E38" i="5"/>
  <c r="D38" i="5"/>
  <c r="C38" i="5"/>
  <c r="E20" i="5"/>
  <c r="D20" i="5"/>
  <c r="C20" i="5"/>
  <c r="J8" i="5"/>
  <c r="I8" i="5"/>
  <c r="E7" i="5"/>
  <c r="D7" i="5"/>
  <c r="C7" i="5"/>
  <c r="J6" i="5"/>
  <c r="I6" i="5"/>
  <c r="H6" i="5"/>
  <c r="J5" i="5"/>
  <c r="I5" i="5"/>
  <c r="H5" i="5"/>
  <c r="J4" i="5"/>
  <c r="I4" i="5"/>
  <c r="H4" i="5"/>
  <c r="E31" i="4"/>
  <c r="D31" i="4"/>
  <c r="C31" i="4"/>
  <c r="E30" i="4"/>
  <c r="D30" i="4"/>
  <c r="C30" i="4"/>
  <c r="C29" i="4"/>
  <c r="E27" i="4"/>
  <c r="E29" i="4" s="1"/>
  <c r="D27" i="4"/>
  <c r="C27" i="4"/>
  <c r="E26" i="4"/>
  <c r="J4" i="4" s="1"/>
  <c r="D26" i="4"/>
  <c r="D29" i="4" s="1"/>
  <c r="C26" i="4"/>
  <c r="E25" i="4"/>
  <c r="C15" i="4"/>
  <c r="H14" i="4"/>
  <c r="J13" i="4"/>
  <c r="I13" i="4"/>
  <c r="I12" i="4"/>
  <c r="H12" i="4"/>
  <c r="C12" i="4"/>
  <c r="C19" i="4" s="1"/>
  <c r="C22" i="4" s="1"/>
  <c r="C25" i="4" s="1"/>
  <c r="J11" i="4"/>
  <c r="I11" i="4"/>
  <c r="H11" i="4"/>
  <c r="E7" i="4"/>
  <c r="E12" i="4" s="1"/>
  <c r="E19" i="4" s="1"/>
  <c r="D7" i="4"/>
  <c r="D12" i="4" s="1"/>
  <c r="D19" i="4" s="1"/>
  <c r="D22" i="4" s="1"/>
  <c r="D25" i="4" s="1"/>
  <c r="C7" i="4"/>
  <c r="H5" i="4"/>
  <c r="H4" i="4"/>
  <c r="E36" i="3"/>
  <c r="D36" i="3"/>
  <c r="C36" i="3"/>
  <c r="E35" i="3"/>
  <c r="D35" i="3"/>
  <c r="C35" i="3"/>
  <c r="E33" i="3"/>
  <c r="D33" i="3"/>
  <c r="C33" i="3"/>
  <c r="E32" i="3"/>
  <c r="D32" i="3"/>
  <c r="C32" i="3"/>
  <c r="E31" i="3"/>
  <c r="D31" i="3"/>
  <c r="C31" i="3"/>
  <c r="E30" i="3"/>
  <c r="D30" i="3"/>
  <c r="Y24" i="3"/>
  <c r="X24" i="3"/>
  <c r="U24" i="3"/>
  <c r="T24" i="3"/>
  <c r="Q24" i="3"/>
  <c r="P24" i="3"/>
  <c r="M24" i="3"/>
  <c r="L24" i="3"/>
  <c r="K24" i="3"/>
  <c r="I24" i="3"/>
  <c r="H24" i="3"/>
  <c r="G24" i="3"/>
  <c r="Y23" i="3"/>
  <c r="X23" i="3"/>
  <c r="U23" i="3"/>
  <c r="T23" i="3"/>
  <c r="Q23" i="3"/>
  <c r="P23" i="3"/>
  <c r="M23" i="3"/>
  <c r="L23" i="3"/>
  <c r="K23" i="3"/>
  <c r="I23" i="3"/>
  <c r="H23" i="3"/>
  <c r="G23" i="3"/>
  <c r="Y22" i="3"/>
  <c r="X22" i="3"/>
  <c r="U22" i="3"/>
  <c r="T22" i="3"/>
  <c r="Q22" i="3"/>
  <c r="P22" i="3"/>
  <c r="M22" i="3"/>
  <c r="L22" i="3"/>
  <c r="K22" i="3"/>
  <c r="I22" i="3"/>
  <c r="H22" i="3"/>
  <c r="G22" i="3"/>
  <c r="Y21" i="3"/>
  <c r="X21" i="3"/>
  <c r="U21" i="3"/>
  <c r="T21" i="3"/>
  <c r="Q21" i="3"/>
  <c r="P21" i="3"/>
  <c r="M21" i="3"/>
  <c r="L21" i="3"/>
  <c r="K21" i="3"/>
  <c r="I21" i="3"/>
  <c r="H21" i="3"/>
  <c r="G21" i="3"/>
  <c r="Y20" i="3"/>
  <c r="Q20" i="3"/>
  <c r="U20" i="3" s="1"/>
  <c r="P20" i="3"/>
  <c r="M20" i="3"/>
  <c r="L20" i="3"/>
  <c r="K20" i="3"/>
  <c r="I20" i="3"/>
  <c r="H20" i="3"/>
  <c r="G20" i="3"/>
  <c r="Y19" i="3"/>
  <c r="X19" i="3"/>
  <c r="Q19" i="3"/>
  <c r="U19" i="3" s="1"/>
  <c r="P19" i="3"/>
  <c r="T19" i="3" s="1"/>
  <c r="M19" i="3"/>
  <c r="L19" i="3"/>
  <c r="K19" i="3"/>
  <c r="I19" i="3"/>
  <c r="H19" i="3"/>
  <c r="G19" i="3"/>
  <c r="Y18" i="3"/>
  <c r="X18" i="3"/>
  <c r="Q18" i="3"/>
  <c r="U18" i="3" s="1"/>
  <c r="P18" i="3"/>
  <c r="T18" i="3" s="1"/>
  <c r="M18" i="3"/>
  <c r="L18" i="3"/>
  <c r="K18" i="3"/>
  <c r="I18" i="3"/>
  <c r="H18" i="3"/>
  <c r="G18" i="3"/>
  <c r="Y17" i="3"/>
  <c r="X17" i="3"/>
  <c r="Q17" i="3"/>
  <c r="U17" i="3" s="1"/>
  <c r="P17" i="3"/>
  <c r="T17" i="3" s="1"/>
  <c r="I17" i="3"/>
  <c r="H17" i="3"/>
  <c r="G17" i="3"/>
  <c r="Y16" i="3"/>
  <c r="X16" i="3"/>
  <c r="T16" i="3"/>
  <c r="Q16" i="3"/>
  <c r="U16" i="3" s="1"/>
  <c r="P16" i="3"/>
  <c r="M16" i="3"/>
  <c r="L16" i="3"/>
  <c r="K16" i="3"/>
  <c r="I16" i="3"/>
  <c r="H16" i="3"/>
  <c r="G16" i="3"/>
  <c r="Y15" i="3"/>
  <c r="X15" i="3"/>
  <c r="T15" i="3"/>
  <c r="Q15" i="3"/>
  <c r="U15" i="3" s="1"/>
  <c r="P15" i="3"/>
  <c r="M15" i="3"/>
  <c r="L15" i="3"/>
  <c r="K15" i="3"/>
  <c r="I15" i="3"/>
  <c r="H15" i="3"/>
  <c r="G15" i="3"/>
  <c r="Y14" i="3"/>
  <c r="X14" i="3"/>
  <c r="T14" i="3"/>
  <c r="Q14" i="3"/>
  <c r="U14" i="3" s="1"/>
  <c r="P14" i="3"/>
  <c r="I14" i="3"/>
  <c r="H14" i="3"/>
  <c r="G14" i="3"/>
  <c r="Y13" i="3"/>
  <c r="X13" i="3"/>
  <c r="U13" i="3"/>
  <c r="T13" i="3"/>
  <c r="Q13" i="3"/>
  <c r="P13" i="3"/>
  <c r="I13" i="3"/>
  <c r="H13" i="3"/>
  <c r="G13" i="3"/>
  <c r="Q12" i="3"/>
  <c r="P12" i="3"/>
  <c r="M12" i="3"/>
  <c r="L12" i="3"/>
  <c r="K12" i="3"/>
  <c r="I12" i="3"/>
  <c r="H12" i="3"/>
  <c r="G12" i="3"/>
  <c r="Y11" i="3"/>
  <c r="X11" i="3"/>
  <c r="U11" i="3"/>
  <c r="Q11" i="3"/>
  <c r="P11" i="3"/>
  <c r="T11" i="3" s="1"/>
  <c r="M11" i="3"/>
  <c r="L11" i="3"/>
  <c r="K11" i="3"/>
  <c r="I11" i="3"/>
  <c r="H11" i="3"/>
  <c r="G11" i="3"/>
  <c r="X10" i="3"/>
  <c r="T10" i="3"/>
  <c r="Q10" i="3"/>
  <c r="P10" i="3"/>
  <c r="M10" i="3"/>
  <c r="L10" i="3"/>
  <c r="K10" i="3"/>
  <c r="I10" i="3"/>
  <c r="H10" i="3"/>
  <c r="G10" i="3"/>
  <c r="Y9" i="3"/>
  <c r="X9" i="3"/>
  <c r="T9" i="3"/>
  <c r="Q9" i="3"/>
  <c r="U9" i="3" s="1"/>
  <c r="P9" i="3"/>
  <c r="M9" i="3"/>
  <c r="L9" i="3"/>
  <c r="K9" i="3"/>
  <c r="I9" i="3"/>
  <c r="H9" i="3"/>
  <c r="G9" i="3"/>
  <c r="Y8" i="3"/>
  <c r="X8" i="3"/>
  <c r="T8" i="3"/>
  <c r="Q8" i="3"/>
  <c r="U8" i="3" s="1"/>
  <c r="P8" i="3"/>
  <c r="M8" i="3"/>
  <c r="L8" i="3"/>
  <c r="K8" i="3"/>
  <c r="I8" i="3"/>
  <c r="H8" i="3"/>
  <c r="G8" i="3"/>
  <c r="Y7" i="3"/>
  <c r="X7" i="3"/>
  <c r="T7" i="3"/>
  <c r="Q7" i="3"/>
  <c r="U7" i="3" s="1"/>
  <c r="P7" i="3"/>
  <c r="M7" i="3"/>
  <c r="L7" i="3"/>
  <c r="K7" i="3"/>
  <c r="I7" i="3"/>
  <c r="H7" i="3"/>
  <c r="G7" i="3"/>
  <c r="Y6" i="3"/>
  <c r="X6" i="3"/>
  <c r="T6" i="3"/>
  <c r="Q6" i="3"/>
  <c r="U6" i="3" s="1"/>
  <c r="P6" i="3"/>
  <c r="M6" i="3"/>
  <c r="L6" i="3"/>
  <c r="K6" i="3"/>
  <c r="I6" i="3"/>
  <c r="H6" i="3"/>
  <c r="G6" i="3"/>
  <c r="Y5" i="3"/>
  <c r="X5" i="3"/>
  <c r="T5" i="3"/>
  <c r="Q5" i="3"/>
  <c r="U5" i="3" s="1"/>
  <c r="P5" i="3"/>
  <c r="I5" i="3"/>
  <c r="H5" i="3"/>
  <c r="G5" i="3"/>
  <c r="E38" i="2"/>
  <c r="D38" i="2"/>
  <c r="C38" i="2"/>
  <c r="E36" i="2"/>
  <c r="D36" i="2"/>
  <c r="C36" i="2"/>
  <c r="E35" i="2"/>
  <c r="D35" i="2"/>
  <c r="C35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7" i="2"/>
  <c r="D27" i="2"/>
  <c r="C27" i="2"/>
  <c r="E26" i="2"/>
  <c r="D26" i="2"/>
  <c r="C26" i="2"/>
  <c r="E25" i="2"/>
  <c r="D25" i="2"/>
  <c r="C25" i="2"/>
  <c r="E24" i="2"/>
  <c r="D24" i="2"/>
  <c r="U17" i="2"/>
  <c r="T17" i="2"/>
  <c r="P17" i="2"/>
  <c r="M17" i="2"/>
  <c r="Q17" i="2" s="1"/>
  <c r="L17" i="2"/>
  <c r="U16" i="2"/>
  <c r="T16" i="2"/>
  <c r="Q16" i="2"/>
  <c r="M16" i="2"/>
  <c r="L16" i="2"/>
  <c r="P16" i="2" s="1"/>
  <c r="U15" i="2"/>
  <c r="T15" i="2"/>
  <c r="P15" i="2"/>
  <c r="M15" i="2"/>
  <c r="Q15" i="2" s="1"/>
  <c r="L15" i="2"/>
  <c r="U14" i="2"/>
  <c r="T14" i="2"/>
  <c r="Q14" i="2"/>
  <c r="M14" i="2"/>
  <c r="L14" i="2"/>
  <c r="P14" i="2" s="1"/>
  <c r="U13" i="2"/>
  <c r="T13" i="2"/>
  <c r="P13" i="2"/>
  <c r="M13" i="2"/>
  <c r="Q13" i="2" s="1"/>
  <c r="L13" i="2"/>
  <c r="U12" i="2"/>
  <c r="T12" i="2"/>
  <c r="Q12" i="2"/>
  <c r="M12" i="2"/>
  <c r="L12" i="2"/>
  <c r="P12" i="2" s="1"/>
  <c r="U11" i="2"/>
  <c r="T11" i="2"/>
  <c r="P11" i="2"/>
  <c r="M11" i="2"/>
  <c r="Q11" i="2" s="1"/>
  <c r="L11" i="2"/>
  <c r="U10" i="2"/>
  <c r="T10" i="2"/>
  <c r="Q10" i="2"/>
  <c r="M10" i="2"/>
  <c r="L10" i="2"/>
  <c r="P10" i="2" s="1"/>
  <c r="U9" i="2"/>
  <c r="T9" i="2"/>
  <c r="P9" i="2"/>
  <c r="M9" i="2"/>
  <c r="Q9" i="2" s="1"/>
  <c r="L9" i="2"/>
  <c r="U8" i="2"/>
  <c r="T8" i="2"/>
  <c r="Q8" i="2"/>
  <c r="M8" i="2"/>
  <c r="L8" i="2"/>
  <c r="P8" i="2" s="1"/>
  <c r="U7" i="2"/>
  <c r="T7" i="2"/>
  <c r="P7" i="2"/>
  <c r="M7" i="2"/>
  <c r="Q7" i="2" s="1"/>
  <c r="L7" i="2"/>
  <c r="U6" i="2"/>
  <c r="T6" i="2"/>
  <c r="Q6" i="2"/>
  <c r="M6" i="2"/>
  <c r="L6" i="2"/>
  <c r="P6" i="2" s="1"/>
  <c r="U5" i="2"/>
  <c r="T5" i="2"/>
  <c r="P5" i="2"/>
  <c r="M5" i="2"/>
  <c r="Q5" i="2" s="1"/>
  <c r="L5" i="2"/>
  <c r="G5" i="2"/>
  <c r="D56" i="5" l="1"/>
  <c r="I9" i="5"/>
  <c r="H9" i="5"/>
  <c r="C57" i="5"/>
  <c r="H8" i="5" s="1"/>
  <c r="E56" i="5"/>
  <c r="J9" i="5"/>
  <c r="I6" i="4"/>
  <c r="I4" i="4"/>
  <c r="J6" i="4"/>
  <c r="J12" i="4"/>
</calcChain>
</file>

<file path=xl/sharedStrings.xml><?xml version="1.0" encoding="utf-8"?>
<sst xmlns="http://schemas.openxmlformats.org/spreadsheetml/2006/main" count="299" uniqueCount="223">
  <si>
    <t>Struktura</t>
  </si>
  <si>
    <t>Bezwzględna zmiana stanu</t>
  </si>
  <si>
    <t>Względna zmiana stanu</t>
  </si>
  <si>
    <t>Wskaźniki dynamiki</t>
  </si>
  <si>
    <t>AKTYWA</t>
  </si>
  <si>
    <t>AKTYWA TRWAŁE</t>
  </si>
  <si>
    <t>Wartości niematerialne</t>
  </si>
  <si>
    <t>Aktywa z tytułu prawa użytkowania</t>
  </si>
  <si>
    <t>Rzeczowe aktywa trwałe</t>
  </si>
  <si>
    <t>Akcje i udziały w jednostkach zależnych</t>
  </si>
  <si>
    <t>Aktywa z tytułu odroczonego podatku dochodowego</t>
  </si>
  <si>
    <t>AKTYWA OBROTOWE</t>
  </si>
  <si>
    <t>Należności z tytułu dostaw i usług</t>
  </si>
  <si>
    <t>Pozostałe należności publicznoprawne</t>
  </si>
  <si>
    <t>Pozostałe należności</t>
  </si>
  <si>
    <t>Aktywa finansowe z tytułu udzielonych pożyczek</t>
  </si>
  <si>
    <t>Pozostałe aktywa</t>
  </si>
  <si>
    <t>Środki pieniężne i ich ekwiwalenty</t>
  </si>
  <si>
    <t>SUMA AKTYWÓW</t>
  </si>
  <si>
    <t>Wskaźnik dynamiki aktywów ogółem</t>
  </si>
  <si>
    <t>Możemy zauważyć lekki wzrost aktywów z roku 2020 na 2021, jednak z roku 2021 na 2022 widzimy spory spadek sumy aktywów</t>
  </si>
  <si>
    <t>Wskaźnik udziału aktywów trwałych</t>
  </si>
  <si>
    <t>To aktywa trwałe stanowią większość część aktywów, ich udział zmniejsza się z roku na rok</t>
  </si>
  <si>
    <t>Wskaźnik udziału aktywów obrotowych</t>
  </si>
  <si>
    <t>Odwrotnie do poprzedniej sytuacji, widzimy wzrost udziału aktywów obrotowych</t>
  </si>
  <si>
    <t>Wskaźnik unieruchomienia majątku</t>
  </si>
  <si>
    <t>Gdy udział aktywów trwałych jest zbyt duży, zmniejsza to elastyczność finansową przedsiębiorstwa i podnosi koszty amortyzacji, tutaj widzimy jednak wzrost tej elastyczności z roku na rok</t>
  </si>
  <si>
    <t>Udział wartości niematerialnych i prawnych w aktywach ogółem</t>
  </si>
  <si>
    <t>Udział rzeczowych aktywów trwałych w aktywach ogółem</t>
  </si>
  <si>
    <t>Możemy dostrzec niskie koszty amortyzacji</t>
  </si>
  <si>
    <t>Udział inwestycji długoterminowych w aktywach ogółem</t>
  </si>
  <si>
    <t>Widzimy duży udział inwestycji długoterminowych w aktywach, są to akcje i udziały w jednostkach zależnych, które są uznawane za długoterminowe aktywa finansowe</t>
  </si>
  <si>
    <t>Udział długoterminowych rozliczeń międzyokresowych w aktywach ogółem</t>
  </si>
  <si>
    <t>Udział należności w aktywach ogółem</t>
  </si>
  <si>
    <t>Nie występują problemy ze ściąganiem należności od kontrahentów</t>
  </si>
  <si>
    <t>Wskaźnik pokrycia aktywów trwałych kapitałem własnym</t>
  </si>
  <si>
    <t>Wskaźnik pokrycia aktywów trwałych kapitałem stałym</t>
  </si>
  <si>
    <t>Kapitał obrotowy netto</t>
  </si>
  <si>
    <t>Możemy zauważyć, że kapitał stały w pełni finansuje aktywa trwałe, z roku na rok nadwyżka się zmienia, ciężko powiedzieć o jednoznacznej tendencji</t>
  </si>
  <si>
    <t>Struktura kapitału własnego i zobowiązań</t>
  </si>
  <si>
    <t>PASYWA</t>
  </si>
  <si>
    <t>KAPITAŁ WŁASNY</t>
  </si>
  <si>
    <t>Kapitał podstawowy</t>
  </si>
  <si>
    <t>Kapitał z emisji akcji powyżej ich wartości nominalnej</t>
  </si>
  <si>
    <t>Zyski zatrzymane</t>
  </si>
  <si>
    <t>Kapitał rezerwowy z tytułu emisji akcji pracowniczych</t>
  </si>
  <si>
    <t>Akcje własne</t>
  </si>
  <si>
    <t>Zysk netto</t>
  </si>
  <si>
    <t>Zaliczka na dywidendę</t>
  </si>
  <si>
    <t>ZOBOWIĄZANIA I REZERWY NA ZOBOWIĄZANIA</t>
  </si>
  <si>
    <t>Zobowiązania i rezerwy długoterminowe</t>
  </si>
  <si>
    <t>Rezerwa z tytułu odroczonego podatku dochodowego</t>
  </si>
  <si>
    <t>Długoterminowe zobowiązania z tytułu leasingu</t>
  </si>
  <si>
    <t>Zobowiązania i rezerwy krótkoterminowe</t>
  </si>
  <si>
    <t>Zobowiązania z tytułu dostaw i usług</t>
  </si>
  <si>
    <t>Pozostałe zobowiązania publicznoprawne</t>
  </si>
  <si>
    <t>Zobowiązania z tytułu kredytów i pożyczek</t>
  </si>
  <si>
    <t>Krótkoterminowe zobowiązania z tytułu leasingu</t>
  </si>
  <si>
    <t>Pozostałe zobowiązania</t>
  </si>
  <si>
    <t>Rezerwy na zobowiązania</t>
  </si>
  <si>
    <t>Pozostałe pasywa</t>
  </si>
  <si>
    <t>SUMA PASYWÓW</t>
  </si>
  <si>
    <t>Kapitał podstawowy ulega jedynie niewielkim zmianom, widzimy jednak, że zyski netto wzrastają z roku na rok, pomimo starty w roku 2020</t>
  </si>
  <si>
    <t>Wskaźnik dynamiki pasywów ogółem</t>
  </si>
  <si>
    <t>Stopień wyposażenia przedsiębiorstwa w kapitał własny</t>
  </si>
  <si>
    <t>Widzimy, że większość kosztów w przedsiębiorstwie jest pokrywana przez kapitał włąsny, jednak i tak ponad 20 % to zobowiązania, nie gwarantuje to pełnej niezależności</t>
  </si>
  <si>
    <t>Stopień obciążenia przedsiębiorstwa zobowiązaniami</t>
  </si>
  <si>
    <t>Stopień wyposażenia przedsiębiorstwa w kapitał stały</t>
  </si>
  <si>
    <t>Udział zobowiązań długoterminowych w pasywach ogółem</t>
  </si>
  <si>
    <t>Udział zobowiązań krótkoterminowych w pasywach ogółem</t>
  </si>
  <si>
    <t>Poszczególne przychody w stosunku do całości przychodów</t>
  </si>
  <si>
    <t>Rachunek zysków i strat</t>
  </si>
  <si>
    <t>Przychody ze sprzedaży usług</t>
  </si>
  <si>
    <t>Przychody finansowe</t>
  </si>
  <si>
    <t>-</t>
  </si>
  <si>
    <t>Koszt sprzedaży usług</t>
  </si>
  <si>
    <t>Pozostałe przychody operacyjne</t>
  </si>
  <si>
    <t>Zysk brutto ze sprzedaży</t>
  </si>
  <si>
    <t>Koszty ogólnego zarządu</t>
  </si>
  <si>
    <t>Poszczególne koszty w stosunku do całości kosztów</t>
  </si>
  <si>
    <t>Pozostałe koszty operacyjne</t>
  </si>
  <si>
    <t>Koszty ze sprzedaży usług</t>
  </si>
  <si>
    <t>Zysk z działalności operacyjnej</t>
  </si>
  <si>
    <t xml:space="preserve">Koszty ogólnego zarządu </t>
  </si>
  <si>
    <t>Koszty finansowe</t>
  </si>
  <si>
    <t>Wynik na zbyciu akcji i udziałów</t>
  </si>
  <si>
    <t>Wycena metodą prawa własności</t>
  </si>
  <si>
    <t>Wspólne ustalenia umowne</t>
  </si>
  <si>
    <t>Zysk/strata przed opodatkowaniem</t>
  </si>
  <si>
    <t>Podatek dochodowy</t>
  </si>
  <si>
    <t>Zysk/strata działalność kontynuowana</t>
  </si>
  <si>
    <t>Zysk/strata dotyczący grupy aktywów do zbycia i działalności zaniechanej</t>
  </si>
  <si>
    <t>Zysk/strata netto</t>
  </si>
  <si>
    <t>Suma przychodów</t>
  </si>
  <si>
    <t>Suma kosztów</t>
  </si>
  <si>
    <t>Wskaźnik poziomu kosztów</t>
  </si>
  <si>
    <t>Wskaźnik poziomu kosztów sprzedaży</t>
  </si>
  <si>
    <t>Wskaźnik poziomu kosztów ogólnego zarządu</t>
  </si>
  <si>
    <t>Przepływy pieniężne z działalności operacyjnej</t>
  </si>
  <si>
    <t>Przepływy z działalności</t>
  </si>
  <si>
    <t>Operacyjna</t>
  </si>
  <si>
    <t>Zysk brutto</t>
  </si>
  <si>
    <t>Inwestycyjna</t>
  </si>
  <si>
    <t>Finansowa</t>
  </si>
  <si>
    <t>Korekty razem:</t>
  </si>
  <si>
    <t>Amortyzacja</t>
  </si>
  <si>
    <t>Wynik finansowy</t>
  </si>
  <si>
    <t xml:space="preserve">Przychód/koszt z odsetek </t>
  </si>
  <si>
    <t>Przepływy razem</t>
  </si>
  <si>
    <t>Wynik na działalności inwestycyjnej</t>
  </si>
  <si>
    <t>Zysk/strata z różnic kursowych</t>
  </si>
  <si>
    <t>Wynik na sprzedaż aktywów i pasywów</t>
  </si>
  <si>
    <t>Odpisy na trwałą utratę wartości</t>
  </si>
  <si>
    <t>Zmiana stanu należności</t>
  </si>
  <si>
    <t>Zmiana stanu pozostałych aktywów</t>
  </si>
  <si>
    <t>Zmiana stanu rezerw i pozostałych pasywów</t>
  </si>
  <si>
    <t>Działalność operacyjna</t>
  </si>
  <si>
    <t>Działalność inwestycyjna</t>
  </si>
  <si>
    <t>Działalność finansowa</t>
  </si>
  <si>
    <t>Wariant</t>
  </si>
  <si>
    <t>Zmiana stanu z tytułu zobowiązań</t>
  </si>
  <si>
    <t xml:space="preserve"> +</t>
  </si>
  <si>
    <t>Programy motywacyjne</t>
  </si>
  <si>
    <t>Zmiana stanu zobowiązań krótkoterminowych z wyjątkiem kredytów</t>
  </si>
  <si>
    <t>Środki pieniężne netto z działalności operacyjnej</t>
  </si>
  <si>
    <t>Zapłacony podatek dochodowy</t>
  </si>
  <si>
    <t>Przeplywy pieniężne netto z działalności operacyjnej</t>
  </si>
  <si>
    <t>Przepływy pieniężne z działalności inwestycyjnej</t>
  </si>
  <si>
    <t>Wpływy:</t>
  </si>
  <si>
    <t>Sprzedaż rzeczowych aktywów trwałych i WNiPU</t>
  </si>
  <si>
    <t>Otrzymane zwroty pożyczek</t>
  </si>
  <si>
    <t>Sprzedaż akcji i udziałów jednostek zależnych</t>
  </si>
  <si>
    <t>Otrzymane odsetki z działalności inwestycyjnej</t>
  </si>
  <si>
    <t>Wydatki:</t>
  </si>
  <si>
    <t>Zakup rzeczowych aktywów trwałych oraz WNiPU</t>
  </si>
  <si>
    <t>Zakup akcji i udziałów</t>
  </si>
  <si>
    <t>Udzielone pożyczki</t>
  </si>
  <si>
    <t>Przeplywy pieniężne netto z działalności inwestycyjnej</t>
  </si>
  <si>
    <t>Przepływy pieniężne z działalności finansowej</t>
  </si>
  <si>
    <t>Zaciągnięcie pożyczek i kredytów</t>
  </si>
  <si>
    <t>Podwyższenie kapitału zakładowego</t>
  </si>
  <si>
    <t>Spłata pożyczek i kredytów</t>
  </si>
  <si>
    <t>Skup akcji własnych</t>
  </si>
  <si>
    <t>Wypłata dywidendy</t>
  </si>
  <si>
    <t>Zapłata rat leasingu</t>
  </si>
  <si>
    <t>Płatności z tytułu odsetek</t>
  </si>
  <si>
    <t>Przeplywy pieniężne netto z działalności finansowej</t>
  </si>
  <si>
    <t>Zmiana stanu z tytuły różnic kursowych</t>
  </si>
  <si>
    <t>Środki pieniężne na początek okresu    (1 stycznia)</t>
  </si>
  <si>
    <t>Środki pieniężne na koniec okresu       (31 grudnia)</t>
  </si>
  <si>
    <t>WSKAŹNIKI SEKTOROWE W 2021</t>
  </si>
  <si>
    <t>WSKAŹNIKI PŁYNNOŚCI FINANSOWEJ</t>
  </si>
  <si>
    <t>Średnia</t>
  </si>
  <si>
    <t>Odchylenie</t>
  </si>
  <si>
    <t>Mediana</t>
  </si>
  <si>
    <t>Statyczne</t>
  </si>
  <si>
    <t>Wskaźnik bieżącej płynności finansowej</t>
  </si>
  <si>
    <t>Widzimy tu dosyć zadowalające wartości.</t>
  </si>
  <si>
    <t>Wskaźnik szybkiej płynności finansowej</t>
  </si>
  <si>
    <r>
      <rPr>
        <sz val="12"/>
        <color theme="1"/>
        <rFont val="Arial"/>
        <family val="2"/>
        <charset val="238"/>
      </rPr>
      <t xml:space="preserve">Z uwagi na typ działaności, w bilnasie firmy nie wystrępuje pozycja </t>
    </r>
    <r>
      <rPr>
        <i/>
        <sz val="12"/>
        <color theme="1"/>
        <rFont val="Arial"/>
        <family val="2"/>
        <charset val="238"/>
      </rPr>
      <t>Zapasy.</t>
    </r>
  </si>
  <si>
    <t>Wskaźnik natychmiastowej płynności finansowej</t>
  </si>
  <si>
    <t>W całym okresie utrzymuje się on na bezpiecznym poziomie.</t>
  </si>
  <si>
    <t>Wskaźnik płynności gotówkowej</t>
  </si>
  <si>
    <t>Widzimy spore różnice w dysponowaniu gotówką w roku 2022.</t>
  </si>
  <si>
    <t>Dynamiczne</t>
  </si>
  <si>
    <t>Wskaźnik ogólny wystarczalności gotówki</t>
  </si>
  <si>
    <t>Obserwujemy wskaźnik na stosunkowo niskim poziomie.</t>
  </si>
  <si>
    <t>Wskaźnik spłaty zobowiązań</t>
  </si>
  <si>
    <t>Ten komponent zdaje się mieć najsłabsze pokrycie.</t>
  </si>
  <si>
    <t>Wskaźnik pokrycia wydatków inwestycyjnych</t>
  </si>
  <si>
    <t>Wskaźnik pokrycia dywidend</t>
  </si>
  <si>
    <t>Wskaźnik wydajności gotówkowej sprzedaży</t>
  </si>
  <si>
    <t>Taki procent przepływów netto ze sprzedaży stanowią odpowiednie komponenty.</t>
  </si>
  <si>
    <t>Wskaźnik wydajności gotókowej aktywów</t>
  </si>
  <si>
    <t>Wskaźnik wydajności gotówkowej zysku</t>
  </si>
  <si>
    <t>WSKAŹNIKI ZADŁUŻENIA</t>
  </si>
  <si>
    <t>Wskaźnik ogólnego zadłużenia</t>
  </si>
  <si>
    <t>Oznacza udział zobowiązań w aktywach. Występują tu podobne, niealarmujące wartości.</t>
  </si>
  <si>
    <t>Wskaźnik pokrycia aktywów kapitałami własnymi</t>
  </si>
  <si>
    <t>Oznacza jaka część aktywów jest finansowana kapitałem własnym.</t>
  </si>
  <si>
    <t>Mnożnik kapitału własnego</t>
  </si>
  <si>
    <t>Informuje, ile razy większe są aktywa od kapitały własnego.</t>
  </si>
  <si>
    <t>Wskaźnik zadłużenia długoterminowego</t>
  </si>
  <si>
    <t>Wartości &lt;1 nie dają powodów do obaw.</t>
  </si>
  <si>
    <t>Wskaźnik struktury zobowiązań długoterminowych</t>
  </si>
  <si>
    <t>Te dwa wzkaźniki informują jaką część zobowiązań ogółem stanowią nade zobowiązania.</t>
  </si>
  <si>
    <t>Wskaźnik struktury zobowiązań krótkoterminowych</t>
  </si>
  <si>
    <t>Wskaźnik zadłużenia aktywów trwałych</t>
  </si>
  <si>
    <t>Zobowiązania w stosunku do aktywów netto. Niskie wartości są zadowalające.</t>
  </si>
  <si>
    <t>Wskaźnik pokrycia zobowiązań długoterminowych
majątkiem trwałym</t>
  </si>
  <si>
    <t>Informuje, iż aktywa trwałe są znacznie wyższe niż zobowiązania długoterminowe.</t>
  </si>
  <si>
    <t>Wskaźnik zadłużenia kapitału własnego</t>
  </si>
  <si>
    <t>Pokrycie zobowiązań kapitałem własnym. Wartości są zadowalające.</t>
  </si>
  <si>
    <t>Wskaźnik niezależności finansowej</t>
  </si>
  <si>
    <t>Odwrotność wskaźnika poprzedniego.</t>
  </si>
  <si>
    <t>WSKAŹNIKI SPRAWNOŚCI DZIAŁANIA</t>
  </si>
  <si>
    <t>Wskaźnik rotacji aktywów</t>
  </si>
  <si>
    <t>Informuje jaki jest stosunek przychodów ze sprzedaży do aktywów.</t>
  </si>
  <si>
    <t>Wskaźnik rotacji aktywów trwałych</t>
  </si>
  <si>
    <t>Wyszczególnienie na aktywa trwałe.</t>
  </si>
  <si>
    <t>Wskaźnik rotacji aktywów obrotowych</t>
  </si>
  <si>
    <t>I obrotowe.</t>
  </si>
  <si>
    <t>Wskaźnik rotacji zapasów</t>
  </si>
  <si>
    <r>
      <rPr>
        <sz val="12"/>
        <color theme="1"/>
        <rFont val="Arial"/>
        <family val="2"/>
        <charset val="238"/>
      </rPr>
      <t xml:space="preserve">Z uwagi na typ działaności, w bilnasie firmy nie wystrępuje pozycja </t>
    </r>
    <r>
      <rPr>
        <i/>
        <sz val="12"/>
        <color theme="1"/>
        <rFont val="Arial"/>
        <family val="2"/>
        <charset val="238"/>
      </rPr>
      <t>Zapasy</t>
    </r>
  </si>
  <si>
    <t>Wskaźnik rotacji zapasów w dniach</t>
  </si>
  <si>
    <t>Wskaźnik rotacji należności</t>
  </si>
  <si>
    <t>Stosunek przychodów ze sprzedaży do należności.</t>
  </si>
  <si>
    <t>Wskaźnik rotacji naleźności w dniach</t>
  </si>
  <si>
    <t>Informuje za ile średnio dni nie otrzymano jeszcze naleźności. Wskaźnik jest gorsze niż średnie dla sektora.</t>
  </si>
  <si>
    <t>Wskaźnik rotacji zobowiązań</t>
  </si>
  <si>
    <t>Stosunek przychodów ze sprzedaży do zobowiązań krótkoterminowych.</t>
  </si>
  <si>
    <t>Wskaźnik rotacji zobowiązań w dniach</t>
  </si>
  <si>
    <t>Informuje co ile średnio przedsiębiorstwo reguluje zobowiązania. Tu wskaźnik jest lepszy niż w średnia dla sektora.</t>
  </si>
  <si>
    <t>CYKL w dniach</t>
  </si>
  <si>
    <t>Informuje przez ile dni firma ma zapotrzebowanie na kapitał obrotowy.</t>
  </si>
  <si>
    <t>WSKAŹNIKI RENTOWNOŚCI</t>
  </si>
  <si>
    <t>Wskaźnik rentowności sprzedaży</t>
  </si>
  <si>
    <t>Stosunek zysku do przychodów. Lepszy niż średnia dla sektora. W 2022 szczególnie wysoki.</t>
  </si>
  <si>
    <t>Wskaźnik rentowności majątku</t>
  </si>
  <si>
    <t>Stosunek zysku do aktywów. Gorszy w porównaniu do średniej sektora.</t>
  </si>
  <si>
    <t>Wskaźnik rentowności kapitału własnego</t>
  </si>
  <si>
    <t>Stosunek zysku do kapitału własnego. Również gorszy niż średnia sektora.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</si>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</sst>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  <charset val="238"/>
      <scheme val="minor"/>
    </font>
    <font>
      <sz val="12"/>
      <color theme="1"/>
      <name val="Arial"/>
      <family val="2"/>
      <charset val="238"/>
      <scheme val="minor"/>
    </font>
    <font>
      <b/>
      <sz val="12"/>
      <color rgb="FF000000"/>
      <name val="Arial"/>
      <family val="2"/>
      <charset val="238"/>
      <scheme val="minor"/>
    </font>
    <font>
      <b/>
      <i/>
      <sz val="12"/>
      <color rgb="FF000000"/>
      <name val="Arial"/>
      <family val="2"/>
      <charset val="238"/>
      <scheme val="minor"/>
    </font>
    <font>
      <b/>
      <sz val="12"/>
      <color rgb="FFFF0000"/>
      <name val="Arial"/>
      <family val="2"/>
      <charset val="238"/>
      <scheme val="minor"/>
    </font>
    <font>
      <b/>
      <sz val="12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name val="Arial"/>
      <family val="2"/>
      <charset val="238"/>
    </font>
    <font>
      <b/>
      <sz val="14"/>
      <color theme="1"/>
      <name val="Arial"/>
      <family val="2"/>
      <charset val="238"/>
      <scheme val="minor"/>
    </font>
    <font>
      <b/>
      <i/>
      <sz val="12"/>
      <color theme="1"/>
      <name val="Arial"/>
      <family val="2"/>
      <charset val="238"/>
      <scheme val="minor"/>
    </font>
    <font>
      <sz val="12"/>
      <color theme="1"/>
      <name val="Arial"/>
      <family val="2"/>
      <charset val="238"/>
    </font>
    <font>
      <i/>
      <sz val="12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2" borderId="2" xfId="0" applyFont="1" applyFill="1" applyBorder="1"/>
    <xf numFmtId="0" fontId="1" fillId="2" borderId="3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7" xfId="0" applyFont="1" applyFill="1" applyBorder="1" applyAlignment="1">
      <alignment horizontal="right"/>
    </xf>
    <xf numFmtId="0" fontId="2" fillId="0" borderId="4" xfId="0" applyFont="1" applyBorder="1"/>
    <xf numFmtId="0" fontId="1" fillId="0" borderId="8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3" fontId="1" fillId="3" borderId="1" xfId="0" applyNumberFormat="1" applyFont="1" applyFill="1" applyBorder="1"/>
    <xf numFmtId="3" fontId="1" fillId="3" borderId="2" xfId="0" applyNumberFormat="1" applyFont="1" applyFill="1" applyBorder="1"/>
    <xf numFmtId="3" fontId="1" fillId="3" borderId="3" xfId="0" applyNumberFormat="1" applyFont="1" applyFill="1" applyBorder="1"/>
    <xf numFmtId="0" fontId="3" fillId="0" borderId="9" xfId="0" applyFont="1" applyBorder="1"/>
    <xf numFmtId="3" fontId="3" fillId="0" borderId="8" xfId="0" applyNumberFormat="1" applyFont="1" applyBorder="1" applyAlignment="1">
      <alignment horizontal="center"/>
    </xf>
    <xf numFmtId="10" fontId="3" fillId="3" borderId="6" xfId="0" applyNumberFormat="1" applyFont="1" applyFill="1" applyBorder="1" applyAlignment="1">
      <alignment horizontal="right"/>
    </xf>
    <xf numFmtId="10" fontId="3" fillId="3" borderId="0" xfId="0" applyNumberFormat="1" applyFont="1" applyFill="1" applyAlignment="1">
      <alignment horizontal="right"/>
    </xf>
    <xf numFmtId="10" fontId="3" fillId="3" borderId="7" xfId="0" applyNumberFormat="1" applyFont="1" applyFill="1" applyBorder="1" applyAlignment="1">
      <alignment horizontal="right"/>
    </xf>
    <xf numFmtId="3" fontId="1" fillId="3" borderId="6" xfId="0" applyNumberFormat="1" applyFont="1" applyFill="1" applyBorder="1"/>
    <xf numFmtId="3" fontId="1" fillId="3" borderId="0" xfId="0" applyNumberFormat="1" applyFont="1" applyFill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0" fontId="1" fillId="3" borderId="6" xfId="0" applyFont="1" applyFill="1" applyBorder="1"/>
    <xf numFmtId="10" fontId="1" fillId="3" borderId="0" xfId="0" applyNumberFormat="1" applyFont="1" applyFill="1" applyAlignment="1">
      <alignment horizontal="right"/>
    </xf>
    <xf numFmtId="10" fontId="1" fillId="3" borderId="7" xfId="0" applyNumberFormat="1" applyFont="1" applyFill="1" applyBorder="1" applyAlignment="1">
      <alignment horizontal="right"/>
    </xf>
    <xf numFmtId="0" fontId="1" fillId="0" borderId="9" xfId="0" applyFont="1" applyBorder="1"/>
    <xf numFmtId="3" fontId="1" fillId="0" borderId="8" xfId="0" applyNumberFormat="1" applyFont="1" applyBorder="1" applyAlignment="1">
      <alignment horizontal="center"/>
    </xf>
    <xf numFmtId="10" fontId="1" fillId="3" borderId="6" xfId="0" applyNumberFormat="1" applyFont="1" applyFill="1" applyBorder="1" applyAlignment="1">
      <alignment horizontal="right"/>
    </xf>
    <xf numFmtId="10" fontId="1" fillId="3" borderId="10" xfId="0" applyNumberFormat="1" applyFont="1" applyFill="1" applyBorder="1" applyAlignment="1">
      <alignment horizontal="right"/>
    </xf>
    <xf numFmtId="10" fontId="1" fillId="3" borderId="11" xfId="0" applyNumberFormat="1" applyFont="1" applyFill="1" applyBorder="1" applyAlignment="1">
      <alignment horizontal="right"/>
    </xf>
    <xf numFmtId="10" fontId="1" fillId="3" borderId="8" xfId="0" applyNumberFormat="1" applyFont="1" applyFill="1" applyBorder="1" applyAlignment="1">
      <alignment horizontal="right"/>
    </xf>
    <xf numFmtId="3" fontId="1" fillId="3" borderId="10" xfId="0" applyNumberFormat="1" applyFont="1" applyFill="1" applyBorder="1"/>
    <xf numFmtId="3" fontId="1" fillId="3" borderId="11" xfId="0" applyNumberFormat="1" applyFont="1" applyFill="1" applyBorder="1" applyAlignment="1">
      <alignment horizontal="right"/>
    </xf>
    <xf numFmtId="3" fontId="1" fillId="3" borderId="8" xfId="0" applyNumberFormat="1" applyFont="1" applyFill="1" applyBorder="1" applyAlignment="1">
      <alignment horizontal="right"/>
    </xf>
    <xf numFmtId="0" fontId="1" fillId="3" borderId="10" xfId="0" applyFont="1" applyFill="1" applyBorder="1"/>
    <xf numFmtId="0" fontId="3" fillId="4" borderId="9" xfId="0" applyFont="1" applyFill="1" applyBorder="1"/>
    <xf numFmtId="3" fontId="3" fillId="4" borderId="8" xfId="0" applyNumberFormat="1" applyFont="1" applyFill="1" applyBorder="1" applyAlignment="1">
      <alignment horizontal="right"/>
    </xf>
    <xf numFmtId="0" fontId="5" fillId="0" borderId="0" xfId="0" applyFont="1"/>
    <xf numFmtId="0" fontId="3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1" fillId="0" borderId="4" xfId="0" applyFont="1" applyBorder="1"/>
    <xf numFmtId="10" fontId="1" fillId="0" borderId="4" xfId="0" applyNumberFormat="1" applyFont="1" applyBorder="1"/>
    <xf numFmtId="10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5" borderId="4" xfId="0" applyFont="1" applyFill="1" applyBorder="1"/>
    <xf numFmtId="0" fontId="1" fillId="5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7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6" fillId="2" borderId="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2" borderId="4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6" xfId="0" applyFont="1" applyBorder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6" xfId="0" applyFont="1" applyFill="1" applyBorder="1" applyAlignment="1">
      <alignment wrapText="1"/>
    </xf>
    <xf numFmtId="10" fontId="2" fillId="3" borderId="0" xfId="0" applyNumberFormat="1" applyFont="1" applyFill="1" applyAlignment="1">
      <alignment horizontal="center"/>
    </xf>
    <xf numFmtId="0" fontId="7" fillId="2" borderId="7" xfId="0" applyFont="1" applyFill="1" applyBorder="1"/>
    <xf numFmtId="0" fontId="3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6" borderId="6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3" borderId="10" xfId="0" applyFont="1" applyFill="1" applyBorder="1" applyAlignment="1">
      <alignment wrapText="1"/>
    </xf>
    <xf numFmtId="10" fontId="2" fillId="3" borderId="11" xfId="0" applyNumberFormat="1" applyFont="1" applyFill="1" applyBorder="1" applyAlignment="1">
      <alignment horizontal="center"/>
    </xf>
    <xf numFmtId="0" fontId="7" fillId="2" borderId="8" xfId="0" applyFont="1" applyFill="1" applyBorder="1"/>
    <xf numFmtId="0" fontId="6" fillId="0" borderId="6" xfId="0" applyFont="1" applyBorder="1" applyAlignment="1">
      <alignment wrapText="1"/>
    </xf>
    <xf numFmtId="0" fontId="6" fillId="4" borderId="0" xfId="0" applyFont="1" applyFill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6" fillId="6" borderId="6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6" fillId="6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8" xfId="0" applyFont="1" applyBorder="1"/>
    <xf numFmtId="10" fontId="2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2" fillId="0" borderId="6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6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6" fillId="7" borderId="0" xfId="0" applyFont="1" applyFill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2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8" fillId="0" borderId="12" xfId="0" applyFont="1" applyBorder="1"/>
    <xf numFmtId="0" fontId="8" fillId="0" borderId="5" xfId="0" applyFont="1" applyBorder="1"/>
    <xf numFmtId="0" fontId="6" fillId="2" borderId="0" xfId="0" applyFont="1" applyFill="1" applyAlignment="1">
      <alignment horizontal="center"/>
    </xf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aktywów w 2020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E6-4101-9926-9B7D1111238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E6-4101-9926-9B7D1111238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6-4101-9926-9B7D111123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FE6-4101-9926-9B7D1111238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('AKTYWA ANALIZA'!$B$5,'AKTYWA ANALIZA'!$B$11)</c:f>
              <c:strCache>
                <c:ptCount val="2"/>
                <c:pt idx="0">
                  <c:v>AKTYWA TRWAŁE</c:v>
                </c:pt>
                <c:pt idx="1">
                  <c:v>AKTYWA OBROTOWE</c:v>
                </c:pt>
              </c:strCache>
            </c:strRef>
          </c:cat>
          <c:val>
            <c:numRef>
              <c:f>('AKTYWA ANALIZA'!$C$5,'AKTYWA ANALIZA'!$C$11)</c:f>
              <c:numCache>
                <c:formatCode>#,##0</c:formatCode>
                <c:ptCount val="2"/>
                <c:pt idx="0">
                  <c:v>28859</c:v>
                </c:pt>
                <c:pt idx="1">
                  <c:v>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6-4101-9926-9B7D1111238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pasywów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2171503215610897"/>
          <c:y val="0.15236632006365058"/>
          <c:w val="0.54342439723954039"/>
          <c:h val="0.768205803542849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6E-4718-8C55-E992367033C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E6E-4718-8C55-E992367033C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6E-4718-8C55-E992367033C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6E-4718-8C55-E992367033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E6E-4718-8C55-E992367033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E6E-4718-8C55-E992367033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E6E-4718-8C55-E992367033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E6E-4718-8C55-E992367033C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('PASYWA ANALIZA'!$B$5,'PASYWA ANALIZA'!$B$13,'PASYWA ANALIZA'!$B$14,'PASYWA ANALIZA'!$B$17)</c:f>
              <c:strCache>
                <c:ptCount val="4"/>
                <c:pt idx="0">
                  <c:v>KAPITAŁ WŁASNY</c:v>
                </c:pt>
                <c:pt idx="1">
                  <c:v>ZOBOWIĄZANIA I REZERWY NA ZOBOWIĄZANIA</c:v>
                </c:pt>
                <c:pt idx="2">
                  <c:v>Zobowiązania i rezerwy długoterminowe</c:v>
                </c:pt>
                <c:pt idx="3">
                  <c:v>Zobowiązania i rezerwy krótkoterminowe</c:v>
                </c:pt>
              </c:strCache>
            </c:strRef>
          </c:cat>
          <c:val>
            <c:numRef>
              <c:f>('PASYWA ANALIZA'!$C$5,'PASYWA ANALIZA'!$C$13,'PASYWA ANALIZA'!$C$14,'PASYWA ANALIZA'!$C$17)</c:f>
              <c:numCache>
                <c:formatCode>#,##0</c:formatCode>
                <c:ptCount val="4"/>
                <c:pt idx="0">
                  <c:v>27486</c:v>
                </c:pt>
                <c:pt idx="1">
                  <c:v>8108</c:v>
                </c:pt>
                <c:pt idx="2">
                  <c:v>4219</c:v>
                </c:pt>
                <c:pt idx="3">
                  <c:v>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718-8C55-E992367033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pasywów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0-469B-96E0-48019EFF2CD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9E0-469B-96E0-48019EFF2CD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0-469B-96E0-48019EFF2CD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9E0-469B-96E0-48019EFF2C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9E0-469B-96E0-48019EFF2C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9E0-469B-96E0-48019EFF2C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9E0-469B-96E0-48019EFF2C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9E0-469B-96E0-48019EFF2CD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('PASYWA ANALIZA'!$B$5,'PASYWA ANALIZA'!$B$13,'PASYWA ANALIZA'!$B$14,'PASYWA ANALIZA'!$B$17)</c:f>
              <c:strCache>
                <c:ptCount val="4"/>
                <c:pt idx="0">
                  <c:v>KAPITAŁ WŁASNY</c:v>
                </c:pt>
                <c:pt idx="1">
                  <c:v>ZOBOWIĄZANIA I REZERWY NA ZOBOWIĄZANIA</c:v>
                </c:pt>
                <c:pt idx="2">
                  <c:v>Zobowiązania i rezerwy długoterminowe</c:v>
                </c:pt>
                <c:pt idx="3">
                  <c:v>Zobowiązania i rezerwy krótkoterminowe</c:v>
                </c:pt>
              </c:strCache>
            </c:strRef>
          </c:cat>
          <c:val>
            <c:numRef>
              <c:f>('PASYWA ANALIZA'!$D$5,'PASYWA ANALIZA'!$D$13,'PASYWA ANALIZA'!$D$14,'PASYWA ANALIZA'!$D$17)</c:f>
              <c:numCache>
                <c:formatCode>#,##0</c:formatCode>
                <c:ptCount val="4"/>
                <c:pt idx="0">
                  <c:v>28222</c:v>
                </c:pt>
                <c:pt idx="1">
                  <c:v>7741</c:v>
                </c:pt>
                <c:pt idx="2">
                  <c:v>1341</c:v>
                </c:pt>
                <c:pt idx="3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0-469B-96E0-48019EFF2CD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pasywów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298360918797027"/>
          <c:y val="0.22163092242090249"/>
          <c:w val="0.69831429595291461"/>
          <c:h val="0.76691450536695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8-491F-ADA9-A99935FC167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78-491F-ADA9-A99935FC167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8-491F-ADA9-A99935FC167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778-491F-ADA9-A99935FC16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778-491F-ADA9-A99935FC16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778-491F-ADA9-A99935FC167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778-491F-ADA9-A99935FC167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778-491F-ADA9-A99935FC167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('PASYWA ANALIZA'!$B$5,'PASYWA ANALIZA'!$B$13,'PASYWA ANALIZA'!$B$14,'PASYWA ANALIZA'!$B$17)</c:f>
              <c:strCache>
                <c:ptCount val="4"/>
                <c:pt idx="0">
                  <c:v>KAPITAŁ WŁASNY</c:v>
                </c:pt>
                <c:pt idx="1">
                  <c:v>ZOBOWIĄZANIA I REZERWY NA ZOBOWIĄZANIA</c:v>
                </c:pt>
                <c:pt idx="2">
                  <c:v>Zobowiązania i rezerwy długoterminowe</c:v>
                </c:pt>
                <c:pt idx="3">
                  <c:v>Zobowiązania i rezerwy krótkoterminowe</c:v>
                </c:pt>
              </c:strCache>
            </c:strRef>
          </c:cat>
          <c:val>
            <c:numRef>
              <c:f>('PASYWA ANALIZA'!$E$5,'PASYWA ANALIZA'!$E$13,'PASYWA ANALIZA'!$E$14,'PASYWA ANALIZA'!$E$17)</c:f>
              <c:numCache>
                <c:formatCode>#,##0</c:formatCode>
                <c:ptCount val="4"/>
                <c:pt idx="0">
                  <c:v>21994</c:v>
                </c:pt>
                <c:pt idx="1">
                  <c:v>6585</c:v>
                </c:pt>
                <c:pt idx="2">
                  <c:v>3866</c:v>
                </c:pt>
                <c:pt idx="3">
                  <c:v>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91F-ADA9-A99935FC16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aktywów w 2021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1362917864199286"/>
          <c:y val="0.17298216570334066"/>
          <c:w val="0.4121188479945383"/>
          <c:h val="0.737222240417010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AE-43FA-9E58-F80642360B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AE-43FA-9E58-F80642360BB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9AE-43FA-9E58-F80642360B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9AE-43FA-9E58-F80642360BB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('AKTYWA ANALIZA'!$B$5,'AKTYWA ANALIZA'!$B$11)</c:f>
              <c:strCache>
                <c:ptCount val="2"/>
                <c:pt idx="0">
                  <c:v>AKTYWA TRWAŁE</c:v>
                </c:pt>
                <c:pt idx="1">
                  <c:v>AKTYWA OBROTOWE</c:v>
                </c:pt>
              </c:strCache>
            </c:strRef>
          </c:cat>
          <c:val>
            <c:numRef>
              <c:f>('AKTYWA ANALIZA'!$D$5,'AKTYWA ANALIZA'!$D$11)</c:f>
              <c:numCache>
                <c:formatCode>#,##0</c:formatCode>
                <c:ptCount val="2"/>
                <c:pt idx="0">
                  <c:v>28352</c:v>
                </c:pt>
                <c:pt idx="1">
                  <c:v>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3FA-9E58-F80642360B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aktywów w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9909667541557305"/>
          <c:y val="0.15925925925925924"/>
          <c:w val="0.40180686789151354"/>
          <c:h val="0.669678113152522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C-4A74-AA92-22FDD4A883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5C-4A74-AA92-22FDD4A883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95C-4A74-AA92-22FDD4A883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95C-4A74-AA92-22FDD4A8834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('AKTYWA ANALIZA'!$B$5,'AKTYWA ANALIZA'!$B$11)</c:f>
              <c:strCache>
                <c:ptCount val="2"/>
                <c:pt idx="0">
                  <c:v>AKTYWA TRWAŁE</c:v>
                </c:pt>
                <c:pt idx="1">
                  <c:v>AKTYWA OBROTOWE</c:v>
                </c:pt>
              </c:strCache>
            </c:strRef>
          </c:cat>
          <c:val>
            <c:numRef>
              <c:f>('AKTYWA ANALIZA'!$E$5,'AKTYWA ANALIZA'!$E$11)</c:f>
              <c:numCache>
                <c:formatCode>#,##0</c:formatCode>
                <c:ptCount val="2"/>
                <c:pt idx="0">
                  <c:v>20985</c:v>
                </c:pt>
                <c:pt idx="1">
                  <c:v>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C-4A74-AA92-22FDD4A883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 aktywów trwałych w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9184457612901501E-2"/>
          <c:y val="0.16794150591221002"/>
          <c:w val="0.36479498772330876"/>
          <c:h val="0.620380272390626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FA-4044-807C-43C884B136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('AKTYWA ANALIZA'!$B$6,'AKTYWA ANALIZA'!$B$7,'AKTYWA ANALIZA'!$B$8,'AKTYWA ANALIZA'!$B$9,'AKTYWA ANALIZA'!$B$10)</c:f>
              <c:strCache>
                <c:ptCount val="5"/>
                <c:pt idx="0">
                  <c:v>Wartości niematerialne</c:v>
                </c:pt>
                <c:pt idx="1">
                  <c:v>Aktywa z tytułu prawa użytkowania</c:v>
                </c:pt>
                <c:pt idx="2">
                  <c:v>Rzeczowe aktywa trwałe</c:v>
                </c:pt>
                <c:pt idx="3">
                  <c:v>Akcje i udziały w jednostkach zależnych</c:v>
                </c:pt>
                <c:pt idx="4">
                  <c:v>Aktywa z tytułu odroczonego podatku dochodowego</c:v>
                </c:pt>
              </c:strCache>
            </c:strRef>
          </c:cat>
          <c:val>
            <c:numRef>
              <c:f>('AKTYWA ANALIZA'!$C$6,'AKTYWA ANALIZA'!$C$7,'AKTYWA ANALIZA'!$C$8,'AKTYWA ANALIZA'!$C$9,'AKTYWA ANALIZA'!$C$10)</c:f>
              <c:numCache>
                <c:formatCode>#,##0</c:formatCode>
                <c:ptCount val="5"/>
                <c:pt idx="0">
                  <c:v>4</c:v>
                </c:pt>
                <c:pt idx="1">
                  <c:v>3428</c:v>
                </c:pt>
                <c:pt idx="2">
                  <c:v>162</c:v>
                </c:pt>
                <c:pt idx="3">
                  <c:v>23827</c:v>
                </c:pt>
                <c:pt idx="4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044-807C-43C884B1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92937738452795"/>
          <c:y val="0.17097582451405061"/>
          <c:w val="0.37859485347836674"/>
          <c:h val="0.6212916507513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aktywów trwałych w 2021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000926086353377E-3"/>
          <c:y val="0.16007953202232728"/>
          <c:w val="0.48912148201214639"/>
          <c:h val="0.62075557396867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('AKTYWA ANALIZA'!$B$6,'AKTYWA ANALIZA'!$B$7,'AKTYWA ANALIZA'!$B$8,'AKTYWA ANALIZA'!$B$9,'AKTYWA ANALIZA'!$B$10)</c:f>
              <c:strCache>
                <c:ptCount val="5"/>
                <c:pt idx="0">
                  <c:v>Wartości niematerialne</c:v>
                </c:pt>
                <c:pt idx="1">
                  <c:v>Aktywa z tytułu prawa użytkowania</c:v>
                </c:pt>
                <c:pt idx="2">
                  <c:v>Rzeczowe aktywa trwałe</c:v>
                </c:pt>
                <c:pt idx="3">
                  <c:v>Akcje i udziały w jednostkach zależnych</c:v>
                </c:pt>
                <c:pt idx="4">
                  <c:v>Aktywa z tytułu odroczonego podatku dochodowego</c:v>
                </c:pt>
              </c:strCache>
            </c:strRef>
          </c:cat>
          <c:val>
            <c:numRef>
              <c:f>('AKTYWA ANALIZA'!$D$6,'AKTYWA ANALIZA'!$D$7,'AKTYWA ANALIZA'!$D$8,'AKTYWA ANALIZA'!$D$9,'AKTYWA ANALIZA'!$D$10)</c:f>
              <c:numCache>
                <c:formatCode>#,##0</c:formatCode>
                <c:ptCount val="5"/>
                <c:pt idx="0">
                  <c:v>110</c:v>
                </c:pt>
                <c:pt idx="1">
                  <c:v>1807</c:v>
                </c:pt>
                <c:pt idx="2">
                  <c:v>124</c:v>
                </c:pt>
                <c:pt idx="3">
                  <c:v>25436</c:v>
                </c:pt>
                <c:pt idx="4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C94-A18C-A21749EC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43828476349686"/>
          <c:y val="0.14887021326347755"/>
          <c:w val="0.47120749424757002"/>
          <c:h val="0.5578911765013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 aktywów trwałych w</a:t>
            </a:r>
            <a:r>
              <a:rPr lang="pl-PL" baseline="0"/>
              <a:t> 2022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1.9928946674467242E-2"/>
          <c:y val="0.17139494349447315"/>
          <c:w val="0.46528477500043663"/>
          <c:h val="0.668338197035409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AD-4E62-A4CD-6C470CB5C9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('AKTYWA ANALIZA'!$B$6,'AKTYWA ANALIZA'!$B$7,'AKTYWA ANALIZA'!$B$8,'AKTYWA ANALIZA'!$B$9,'AKTYWA ANALIZA'!$B$10)</c:f>
              <c:strCache>
                <c:ptCount val="5"/>
                <c:pt idx="0">
                  <c:v>Wartości niematerialne</c:v>
                </c:pt>
                <c:pt idx="1">
                  <c:v>Aktywa z tytułu prawa użytkowania</c:v>
                </c:pt>
                <c:pt idx="2">
                  <c:v>Rzeczowe aktywa trwałe</c:v>
                </c:pt>
                <c:pt idx="3">
                  <c:v>Akcje i udziały w jednostkach zależnych</c:v>
                </c:pt>
                <c:pt idx="4">
                  <c:v>Aktywa z tytułu odroczonego podatku dochodowego</c:v>
                </c:pt>
              </c:strCache>
            </c:strRef>
          </c:cat>
          <c:val>
            <c:numRef>
              <c:f>('AKTYWA ANALIZA'!$E$6,'AKTYWA ANALIZA'!$E$7,'AKTYWA ANALIZA'!$E$8,'AKTYWA ANALIZA'!$E$9,'AKTYWA ANALIZA'!$E$10)</c:f>
              <c:numCache>
                <c:formatCode>#,##0</c:formatCode>
                <c:ptCount val="5"/>
                <c:pt idx="0">
                  <c:v>195</c:v>
                </c:pt>
                <c:pt idx="1">
                  <c:v>3451</c:v>
                </c:pt>
                <c:pt idx="2">
                  <c:v>103</c:v>
                </c:pt>
                <c:pt idx="3">
                  <c:v>16213</c:v>
                </c:pt>
                <c:pt idx="4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D-4E62-A4CD-6C470CB5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18410047873186"/>
          <c:y val="0.21348238545392259"/>
          <c:w val="0.47475623948960588"/>
          <c:h val="0.51184623074083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 aktywów obrotowych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3690501525147217E-2"/>
          <c:y val="0.16797020484171321"/>
          <c:w val="0.43514151947222812"/>
          <c:h val="0.719563629965248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42-4E06-8905-5A3388530A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42-4E06-8905-5A3388530A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42-4E06-8905-5A3388530AD5}"/>
              </c:ext>
            </c:extLst>
          </c:dPt>
          <c:cat>
            <c:strRef>
              <c:f>('AKTYWA ANALIZA'!$B$12,'AKTYWA ANALIZA'!$B$13,'AKTYWA ANALIZA'!$B$14,'AKTYWA ANALIZA'!$B$15,'AKTYWA ANALIZA'!$B$16,'AKTYWA ANALIZA'!$B$17)</c:f>
              <c:strCache>
                <c:ptCount val="6"/>
                <c:pt idx="0">
                  <c:v>Należności z tytułu dostaw i usług</c:v>
                </c:pt>
                <c:pt idx="1">
                  <c:v>Pozostałe należności publicznoprawne</c:v>
                </c:pt>
                <c:pt idx="2">
                  <c:v>Pozostałe należności</c:v>
                </c:pt>
                <c:pt idx="3">
                  <c:v>Aktywa finansowe z tytułu udzielonych pożyczek</c:v>
                </c:pt>
                <c:pt idx="4">
                  <c:v>Pozostałe aktywa</c:v>
                </c:pt>
                <c:pt idx="5">
                  <c:v>Środki pieniężne i ich ekwiwalenty</c:v>
                </c:pt>
              </c:strCache>
            </c:strRef>
          </c:cat>
          <c:val>
            <c:numRef>
              <c:f>('AKTYWA ANALIZA'!$C$12,'AKTYWA ANALIZA'!$C$13,'AKTYWA ANALIZA'!$C$14,'AKTYWA ANALIZA'!$C$15,'AKTYWA ANALIZA'!$C$16,'AKTYWA ANALIZA'!$C$17)</c:f>
              <c:numCache>
                <c:formatCode>#,##0</c:formatCode>
                <c:ptCount val="6"/>
                <c:pt idx="0">
                  <c:v>2661</c:v>
                </c:pt>
                <c:pt idx="1">
                  <c:v>28</c:v>
                </c:pt>
                <c:pt idx="2">
                  <c:v>16</c:v>
                </c:pt>
                <c:pt idx="3">
                  <c:v>3512</c:v>
                </c:pt>
                <c:pt idx="4">
                  <c:v>212</c:v>
                </c:pt>
                <c:pt idx="5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2-4E06-8905-5A338853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08870949954787"/>
          <c:y val="0.26560817302786988"/>
          <c:w val="0.45296526169522927"/>
          <c:h val="0.52268543493937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aktywów obrotowych 2021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6654212801216149E-2"/>
          <c:y val="0.13550171779766251"/>
          <c:w val="0.47016397386979741"/>
          <c:h val="0.721514579052159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('AKTYWA ANALIZA'!$B$12,'AKTYWA ANALIZA'!$B$13,'AKTYWA ANALIZA'!$B$14,'AKTYWA ANALIZA'!$B$15,'AKTYWA ANALIZA'!$B$16,'AKTYWA ANALIZA'!$B$17)</c:f>
              <c:strCache>
                <c:ptCount val="6"/>
                <c:pt idx="0">
                  <c:v>Należności z tytułu dostaw i usług</c:v>
                </c:pt>
                <c:pt idx="1">
                  <c:v>Pozostałe należności publicznoprawne</c:v>
                </c:pt>
                <c:pt idx="2">
                  <c:v>Pozostałe należności</c:v>
                </c:pt>
                <c:pt idx="3">
                  <c:v>Aktywa finansowe z tytułu udzielonych pożyczek</c:v>
                </c:pt>
                <c:pt idx="4">
                  <c:v>Pozostałe aktywa</c:v>
                </c:pt>
                <c:pt idx="5">
                  <c:v>Środki pieniężne i ich ekwiwalenty</c:v>
                </c:pt>
              </c:strCache>
            </c:strRef>
          </c:cat>
          <c:val>
            <c:numRef>
              <c:f>('AKTYWA ANALIZA'!$D$12,'AKTYWA ANALIZA'!$D$13,'AKTYWA ANALIZA'!$D$14,'AKTYWA ANALIZA'!$D$15,'AKTYWA ANALIZA'!$D$16,'AKTYWA ANALIZA'!$D$17)</c:f>
              <c:numCache>
                <c:formatCode>#,##0</c:formatCode>
                <c:ptCount val="6"/>
                <c:pt idx="0">
                  <c:v>3093</c:v>
                </c:pt>
                <c:pt idx="1">
                  <c:v>33</c:v>
                </c:pt>
                <c:pt idx="2">
                  <c:v>22</c:v>
                </c:pt>
                <c:pt idx="3">
                  <c:v>4166</c:v>
                </c:pt>
                <c:pt idx="4">
                  <c:v>243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A78-B3F1-AF33EF82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83716614322766"/>
          <c:y val="0.24801981236594534"/>
          <c:w val="0.37083597743617891"/>
          <c:h val="0.5439063887687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Struktura aktywów obrotowych</a:t>
            </a:r>
            <a:r>
              <a:rPr lang="pl-PL" baseline="0"/>
              <a:t> 2022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5775396884658077E-2"/>
          <c:y val="0.14081711122834939"/>
          <c:w val="0.40873609286424939"/>
          <c:h val="0.72442481199645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('AKTYWA ANALIZA'!$B$12,'AKTYWA ANALIZA'!$B$13,'AKTYWA ANALIZA'!$B$14,'AKTYWA ANALIZA'!$B$15,'AKTYWA ANALIZA'!$B$16,'AKTYWA ANALIZA'!$B$17)</c:f>
              <c:strCache>
                <c:ptCount val="6"/>
                <c:pt idx="0">
                  <c:v>Należności z tytułu dostaw i usług</c:v>
                </c:pt>
                <c:pt idx="1">
                  <c:v>Pozostałe należności publicznoprawne</c:v>
                </c:pt>
                <c:pt idx="2">
                  <c:v>Pozostałe należności</c:v>
                </c:pt>
                <c:pt idx="3">
                  <c:v>Aktywa finansowe z tytułu udzielonych pożyczek</c:v>
                </c:pt>
                <c:pt idx="4">
                  <c:v>Pozostałe aktywa</c:v>
                </c:pt>
                <c:pt idx="5">
                  <c:v>Środki pieniężne i ich ekwiwalenty</c:v>
                </c:pt>
              </c:strCache>
            </c:strRef>
          </c:cat>
          <c:val>
            <c:numRef>
              <c:f>('AKTYWA ANALIZA'!$E$12,'AKTYWA ANALIZA'!$E$13,'AKTYWA ANALIZA'!$E$14,'AKTYWA ANALIZA'!$E$15,'AKTYWA ANALIZA'!$E$16,'AKTYWA ANALIZA'!$E$17)</c:f>
              <c:numCache>
                <c:formatCode>#,##0</c:formatCode>
                <c:ptCount val="6"/>
                <c:pt idx="0">
                  <c:v>2130</c:v>
                </c:pt>
                <c:pt idx="1">
                  <c:v>320</c:v>
                </c:pt>
                <c:pt idx="2">
                  <c:v>23</c:v>
                </c:pt>
                <c:pt idx="3">
                  <c:v>0</c:v>
                </c:pt>
                <c:pt idx="4">
                  <c:v>251</c:v>
                </c:pt>
                <c:pt idx="5">
                  <c:v>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4-4967-8EA5-2F9D6973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60293797457257"/>
          <c:y val="0.17629799194632473"/>
          <c:w val="0.51886921703417133"/>
          <c:h val="0.6520969262700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inwestorzy.fabrity.com/raporty-okresowe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47625</xdr:rowOff>
    </xdr:from>
    <xdr:ext cx="4953000" cy="1952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85200"/>
          <a:ext cx="4938900" cy="1932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Analiza finansowa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Autorzy: Wojciech Kantor, Łukasz Maczek, Jakub Pączek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Przedsiębiorstwo do analizy: FABRITY HOLDING S.A.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Sprawozdania finansowe za odpowiednie lata pobrane ze strony: </a:t>
          </a:r>
          <a:r>
            <a:rPr lang="en-US" sz="1400" u="sng">
              <a:solidFill>
                <a:srgbClr val="000099"/>
              </a:solidFill>
              <a:hlinkClick xmlns:r="http://schemas.openxmlformats.org/officeDocument/2006/relationships" r:id="rId1"/>
            </a:rPr>
            <a:t>Raporty okresowe - Serwis inwestorski (fabrity.com)</a:t>
          </a:r>
          <a:endParaRPr sz="1700"/>
        </a:p>
      </xdr:txBody>
    </xdr:sp>
    <xdr:clientData fLocksWithSheet="0"/>
  </xdr:oneCellAnchor>
  <xdr:oneCellAnchor>
    <xdr:from>
      <xdr:col>0</xdr:col>
      <xdr:colOff>781050</xdr:colOff>
      <xdr:row>10</xdr:row>
      <xdr:rowOff>133350</xdr:rowOff>
    </xdr:from>
    <xdr:ext cx="5086350" cy="3486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8825" y="167025"/>
          <a:ext cx="5071800" cy="3466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FABRITY HOLDING S.A.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FABRITY jest polskim przedsiębiorstwem działającym w branży informatycznej, dostarczającym rozwiązania informatyczne firmom z Polski i zza granicy. Zaliczają się do tego między innymi produkty cyfrowe, specjalistyczne oprogramowania czy aplikacje chmurowe. Realizuje ono projekty dla wielu podmiotów o silnej pozycji rynkowej z różnych sektorów, na przykład finansowego, medycznego czy logistycznego. Oprócz głównej działalności FABRITY rozwija także startup technologiczny PerfectBot skoncentrowany na rozwoju technologii AI.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 obecnej formie spółka ukształtowała się w 2007 roku. Od tego czasu dynamicznie się rozwija i osiąga zadowalające wyniki finansowe.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268304</xdr:colOff>
      <xdr:row>39</xdr:row>
      <xdr:rowOff>37539</xdr:rowOff>
    </xdr:from>
    <xdr:to>
      <xdr:col>6</xdr:col>
      <xdr:colOff>23812</xdr:colOff>
      <xdr:row>58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2082F1-F341-8580-8133-BBFCACC77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285751</xdr:colOff>
      <xdr:row>39</xdr:row>
      <xdr:rowOff>0</xdr:rowOff>
    </xdr:from>
    <xdr:to>
      <xdr:col>15</xdr:col>
      <xdr:colOff>309562</xdr:colOff>
      <xdr:row>58</xdr:row>
      <xdr:rowOff>166688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480EFB6-6A0D-CFBF-46F4-4A89B78E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39</xdr:row>
      <xdr:rowOff>1</xdr:rowOff>
    </xdr:from>
    <xdr:to>
      <xdr:col>24</xdr:col>
      <xdr:colOff>483054</xdr:colOff>
      <xdr:row>58</xdr:row>
      <xdr:rowOff>54429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C03236F-6BD7-EA0B-A0A4-EDCD58309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119061</xdr:colOff>
      <xdr:row>60</xdr:row>
      <xdr:rowOff>40821</xdr:rowOff>
    </xdr:from>
    <xdr:to>
      <xdr:col>6</xdr:col>
      <xdr:colOff>547687</xdr:colOff>
      <xdr:row>84</xdr:row>
      <xdr:rowOff>153080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99FBFAE-FC49-1636-EE02-DE03AC9F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217715</xdr:colOff>
      <xdr:row>60</xdr:row>
      <xdr:rowOff>91849</xdr:rowOff>
    </xdr:from>
    <xdr:to>
      <xdr:col>15</xdr:col>
      <xdr:colOff>833436</xdr:colOff>
      <xdr:row>84</xdr:row>
      <xdr:rowOff>159884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538A92B-4E76-81A5-CFED-D8C20C5D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682829</xdr:colOff>
      <xdr:row>60</xdr:row>
      <xdr:rowOff>31046</xdr:rowOff>
    </xdr:from>
    <xdr:to>
      <xdr:col>25</xdr:col>
      <xdr:colOff>606137</xdr:colOff>
      <xdr:row>84</xdr:row>
      <xdr:rowOff>82753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EB04A7C-125D-8B63-E44D-9D92C8504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174170</xdr:colOff>
      <xdr:row>87</xdr:row>
      <xdr:rowOff>95249</xdr:rowOff>
    </xdr:from>
    <xdr:to>
      <xdr:col>7</xdr:col>
      <xdr:colOff>47624</xdr:colOff>
      <xdr:row>113</xdr:row>
      <xdr:rowOff>155120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7BEAF21-FBDB-36F8-FD76-4DECB991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355022</xdr:colOff>
      <xdr:row>87</xdr:row>
      <xdr:rowOff>138545</xdr:rowOff>
    </xdr:from>
    <xdr:to>
      <xdr:col>16</xdr:col>
      <xdr:colOff>554181</xdr:colOff>
      <xdr:row>114</xdr:row>
      <xdr:rowOff>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C5F2332-7896-B871-A35A-5C367F8E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747667</xdr:colOff>
      <xdr:row>87</xdr:row>
      <xdr:rowOff>93518</xdr:rowOff>
    </xdr:from>
    <xdr:to>
      <xdr:col>27</xdr:col>
      <xdr:colOff>51955</xdr:colOff>
      <xdr:row>113</xdr:row>
      <xdr:rowOff>173003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319CD77A-2CDB-A1D6-7EA7-F4C9BD585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688397</xdr:colOff>
      <xdr:row>38</xdr:row>
      <xdr:rowOff>148134</xdr:rowOff>
    </xdr:from>
    <xdr:to>
      <xdr:col>4</xdr:col>
      <xdr:colOff>693037</xdr:colOff>
      <xdr:row>67</xdr:row>
      <xdr:rowOff>90984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312142-E55B-D872-AABF-FA4B35BD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571499</xdr:colOff>
      <xdr:row>38</xdr:row>
      <xdr:rowOff>142876</xdr:rowOff>
    </xdr:from>
    <xdr:to>
      <xdr:col>15</xdr:col>
      <xdr:colOff>571499</xdr:colOff>
      <xdr:row>67</xdr:row>
      <xdr:rowOff>119062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50510F2-22B7-E8CC-5C19-124C1F33F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244928</xdr:colOff>
      <xdr:row>39</xdr:row>
      <xdr:rowOff>11135</xdr:rowOff>
    </xdr:from>
    <xdr:to>
      <xdr:col>25</xdr:col>
      <xdr:colOff>406977</xdr:colOff>
      <xdr:row>67</xdr:row>
      <xdr:rowOff>147205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AA2F1FA-1491-7BC4-D4C8-1FB987BB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16</xdr:row>
      <xdr:rowOff>152400</xdr:rowOff>
    </xdr:from>
    <xdr:ext cx="9353550" cy="33147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55850" y="116900"/>
          <a:ext cx="9331500" cy="3175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Możemy zauważyć, że jak na firmę prowadzącą działalność usługową przystało, prawie wszystkie przychody i koszty pochodzą ze sprzedaży usług. Przychody ze sprzedaży usług stanowią prawie 99 procent w każdym roku.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Koszty sprzedaży oscylują w granicach 90 procent. Rekordowe przychody firma odnotowała w 2020, tak samo jak rekordowe koszty, jeżeli chodzi o sprzedaż usług ale też ogółem rekordowe przychody całościowo.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Kosztami który rok w rok zajmują około od 7 do prawie 10 procent wszystkich kosztów są koszty ogólnego zarządu.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Są to koszty administracji oraz ogólnej obsługi działalności.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Koszty i przychody finansowe to znikoma część rachunku zysków i strat gdyż są to zaledwie ułamki procentów, sytuacja jest analogiczna jeśli chodzi o koszty i przychody operacyjne, też są bardzo nieznaczne.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Jeśli chodzi o zyski w firmie, prawie w całości pochodzą one z działalności usługowej, pozostałe przychody stanowią ich bardzo małą część. Jednakże w roku 2022 główny zysk firmy pochodzi ze sprzedaży akcji i udziałów.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23</xdr:row>
      <xdr:rowOff>19050</xdr:rowOff>
    </xdr:from>
    <xdr:ext cx="8753475" cy="6505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01950" y="155850"/>
          <a:ext cx="8737200" cy="6487200"/>
        </a:xfrm>
        <a:prstGeom prst="rect">
          <a:avLst/>
        </a:prstGeom>
        <a:solidFill>
          <a:srgbClr val="FFFFFF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3200400" lvl="0" indent="45720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50" b="1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WNIOSKI</a:t>
          </a:r>
          <a:endParaRPr sz="1850" b="1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Jak możemy zauważyć, przepływy pieniężne w firmie przyjmowały wariant 4  w latach 2020 i 2021, wtedy też firma generowała największe przepływy pieniężne z działalności operacyjnej. Jeśli chodzi o działalność finansową, była ona “na minusie”, gdyż firma nie sprzedawała ani aktywów i WNiPu ani też akcji. Natomiast inwestowała we właśnie WNiP oraz aktywa trwałe. Nie inwestowała w akcje ani też nie udzielała pożyczek. Duży wpływ na ujemny wynik z działalności finansowej miały wszelkiego rodzaju spłaty: rat leasingowych  oraz pożyczek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Ostatecznie zsumowanie przepływy firmy oraz jej wynik finansowy był dodatni. W 2020 środki pieniężne w ciągu roku powiększyły się o ponad 100 procent natomiast w 2021 o bardzo niewiele, bo o około 10 procent.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W roku 2022, przepływy pieniężne firmy przyjęły, wariant 2. Firma zanotowała też rekordowy zysk wynoszący ponad pięciokrotność zysku z roku poprzedniego. Przepływy z działalności operacyjnej spadły o ponad 40 procent, natomiast wciąż były większy od 0. Jeśli chodzi o działalność inwestycyjną, zanotowała ogromny skok na plus, przez sprzedaż akcji i udziałów jednostek zależnych. Firma wypłaciła rekordową kwotę dywidend, bo aż siedmiokrotnie więcej niż w roku poprzednim. Przez to przepływy netto z działalności finansowej okazały się rekordowo małe.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Wynik finansowy i wszystkie przepływy pieniężne okazały się dodatnie, a środki pieniężne wzrosły o prawie 100 procent wartości na koniec okresu w porównaniu do początku okresu.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Przepływy pieniężne firmy w latach 2020 i 2021 był stabilna. Firma skupiła się na zakupie aktywów trwałych i WNiPu, a nie ich sprzedaży. W 2022 nastąpiła zmiana i firma przyjęła wariant 2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,rekordowy zysk jest skutkiem ogromnego wzrostu sprzedaży aktywów trwałych i WNiPu. 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Cała historia przepływów może wskazywać na przemyślaną długoterminową strategię inwestowania i sprzedawania aktywów trwałych i WNiPu.</a:t>
          </a:r>
          <a:endParaRPr sz="15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>
            <a:solidFill>
              <a:srgbClr val="1F1F1F"/>
            </a:solidFill>
            <a:highlight>
              <a:srgbClr val="FFFFFF"/>
            </a:highlight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2"/>
  <sheetViews>
    <sheetView tabSelected="1" topLeftCell="A40" zoomScale="55" zoomScaleNormal="55" workbookViewId="0">
      <selection activeCell="Q50" sqref="Q50"/>
    </sheetView>
  </sheetViews>
  <sheetFormatPr defaultColWidth="12.5703125" defaultRowHeight="15.75" customHeight="1" x14ac:dyDescent="0.2"/>
  <cols>
    <col min="2" max="2" width="58.42578125" customWidth="1"/>
  </cols>
  <sheetData>
    <row r="1" spans="1: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</row>
    <row r="2" spans="1:25" ht="15.75" customHeight="1" x14ac:dyDescent="0.25">
      <c r="A2" s="1"/>
      <c r="B2" s="1"/>
      <c r="C2" s="1"/>
      <c r="D2" s="1"/>
      <c r="E2" s="1"/>
      <c r="F2" s="1"/>
      <c r="G2" s="3"/>
      <c r="H2" s="4" t="s">
        <v>0</v>
      </c>
      <c r="I2" s="5"/>
      <c r="J2" s="1"/>
      <c r="K2" s="3"/>
      <c r="L2" s="6" t="s">
        <v>1</v>
      </c>
      <c r="M2" s="5"/>
      <c r="N2" s="1"/>
      <c r="O2" s="3"/>
      <c r="P2" s="6" t="s">
        <v>2</v>
      </c>
      <c r="Q2" s="5"/>
      <c r="R2" s="1"/>
      <c r="S2" s="3"/>
      <c r="T2" s="6" t="s">
        <v>3</v>
      </c>
      <c r="U2" s="5"/>
      <c r="V2" s="2"/>
      <c r="W2" s="2"/>
      <c r="X2" s="2"/>
      <c r="Y2" s="2"/>
    </row>
    <row r="3" spans="1:25" ht="15.75" customHeight="1" x14ac:dyDescent="0.25">
      <c r="A3" s="1"/>
      <c r="B3" s="7" t="s">
        <v>4</v>
      </c>
      <c r="C3" s="8">
        <v>2020</v>
      </c>
      <c r="D3" s="8">
        <v>2021</v>
      </c>
      <c r="E3" s="8">
        <v>2022</v>
      </c>
      <c r="F3" s="1"/>
      <c r="G3" s="9">
        <v>2020</v>
      </c>
      <c r="H3" s="10">
        <v>2021</v>
      </c>
      <c r="I3" s="11">
        <v>2022</v>
      </c>
      <c r="J3" s="1"/>
      <c r="K3" s="9">
        <v>2020</v>
      </c>
      <c r="L3" s="10">
        <v>2021</v>
      </c>
      <c r="M3" s="11">
        <v>2022</v>
      </c>
      <c r="N3" s="1"/>
      <c r="O3" s="9">
        <v>2020</v>
      </c>
      <c r="P3" s="10">
        <v>2021</v>
      </c>
      <c r="Q3" s="11">
        <v>2022</v>
      </c>
      <c r="R3" s="1"/>
      <c r="S3" s="9">
        <v>2020</v>
      </c>
      <c r="T3" s="10">
        <v>2021</v>
      </c>
      <c r="U3" s="11">
        <v>2022</v>
      </c>
      <c r="V3" s="2"/>
      <c r="W3" s="2"/>
      <c r="X3" s="2"/>
      <c r="Y3" s="2"/>
    </row>
    <row r="4" spans="1:25" x14ac:dyDescent="0.2">
      <c r="A4" s="1"/>
      <c r="B4" s="12"/>
      <c r="C4" s="13"/>
      <c r="D4" s="13"/>
      <c r="E4" s="13"/>
      <c r="F4" s="1"/>
      <c r="G4" s="14"/>
      <c r="H4" s="15"/>
      <c r="I4" s="16"/>
      <c r="J4" s="1"/>
      <c r="K4" s="17"/>
      <c r="L4" s="18"/>
      <c r="M4" s="19"/>
      <c r="N4" s="1"/>
      <c r="O4" s="14"/>
      <c r="P4" s="15"/>
      <c r="Q4" s="16"/>
      <c r="R4" s="1"/>
      <c r="S4" s="14"/>
      <c r="T4" s="15"/>
      <c r="U4" s="16"/>
      <c r="V4" s="2"/>
      <c r="W4" s="2"/>
      <c r="X4" s="2"/>
      <c r="Y4" s="2"/>
    </row>
    <row r="5" spans="1:25" ht="15.75" customHeight="1" x14ac:dyDescent="0.25">
      <c r="A5" s="1"/>
      <c r="B5" s="20" t="s">
        <v>5</v>
      </c>
      <c r="C5" s="21">
        <v>28859</v>
      </c>
      <c r="D5" s="21">
        <v>28352</v>
      </c>
      <c r="E5" s="21">
        <v>20985</v>
      </c>
      <c r="F5" s="1"/>
      <c r="G5" s="22">
        <f>C5/C$19</f>
        <v>0.81078271618812159</v>
      </c>
      <c r="H5" s="23">
        <v>0.14530000000000001</v>
      </c>
      <c r="I5" s="24">
        <v>0.15240000000000001</v>
      </c>
      <c r="J5" s="1"/>
      <c r="K5" s="25"/>
      <c r="L5" s="26">
        <f t="shared" ref="L5:M5" si="0">D5-C5</f>
        <v>-507</v>
      </c>
      <c r="M5" s="27">
        <f t="shared" si="0"/>
        <v>-7367</v>
      </c>
      <c r="N5" s="1"/>
      <c r="O5" s="28"/>
      <c r="P5" s="29">
        <f t="shared" ref="P5:Q5" si="1">L5/C5</f>
        <v>-1.7568176305485291E-2</v>
      </c>
      <c r="Q5" s="30">
        <f t="shared" si="1"/>
        <v>-0.25984057562076751</v>
      </c>
      <c r="R5" s="1"/>
      <c r="S5" s="28"/>
      <c r="T5" s="29">
        <f t="shared" ref="T5:U5" si="2">D5/C5</f>
        <v>0.98243182369451476</v>
      </c>
      <c r="U5" s="30">
        <f t="shared" si="2"/>
        <v>0.74015942437923254</v>
      </c>
      <c r="V5" s="2"/>
      <c r="W5" s="2"/>
      <c r="X5" s="2"/>
      <c r="Y5" s="2"/>
    </row>
    <row r="6" spans="1:25" x14ac:dyDescent="0.2">
      <c r="A6" s="1"/>
      <c r="B6" s="31" t="s">
        <v>6</v>
      </c>
      <c r="C6" s="32">
        <v>4</v>
      </c>
      <c r="D6" s="32">
        <v>110</v>
      </c>
      <c r="E6" s="32">
        <v>195</v>
      </c>
      <c r="F6" s="1"/>
      <c r="G6" s="33">
        <v>0.1225</v>
      </c>
      <c r="H6" s="29">
        <v>2.1700000000000001E-2</v>
      </c>
      <c r="I6" s="30">
        <v>2.01E-2</v>
      </c>
      <c r="J6" s="1"/>
      <c r="K6" s="25"/>
      <c r="L6" s="26">
        <f t="shared" ref="L6:M6" si="3">D6-C6</f>
        <v>106</v>
      </c>
      <c r="M6" s="27">
        <f t="shared" si="3"/>
        <v>85</v>
      </c>
      <c r="N6" s="1"/>
      <c r="O6" s="28"/>
      <c r="P6" s="29">
        <f t="shared" ref="P6:Q6" si="4">L6/C6</f>
        <v>26.5</v>
      </c>
      <c r="Q6" s="30">
        <f t="shared" si="4"/>
        <v>0.77272727272727271</v>
      </c>
      <c r="R6" s="1"/>
      <c r="S6" s="28"/>
      <c r="T6" s="29">
        <f t="shared" ref="T6:U6" si="5">D6/C6</f>
        <v>27.5</v>
      </c>
      <c r="U6" s="30">
        <f t="shared" si="5"/>
        <v>1.7727272727272727</v>
      </c>
      <c r="V6" s="2"/>
      <c r="W6" s="2"/>
      <c r="X6" s="2"/>
      <c r="Y6" s="2"/>
    </row>
    <row r="7" spans="1:25" x14ac:dyDescent="0.2">
      <c r="A7" s="1"/>
      <c r="B7" s="31" t="s">
        <v>7</v>
      </c>
      <c r="C7" s="32">
        <v>3428</v>
      </c>
      <c r="D7" s="32">
        <v>1807</v>
      </c>
      <c r="E7" s="32">
        <v>3451</v>
      </c>
      <c r="F7" s="1"/>
      <c r="G7" s="33">
        <v>0.1217</v>
      </c>
      <c r="H7" s="29">
        <v>5.0799999999999998E-2</v>
      </c>
      <c r="I7" s="30">
        <v>6.9400000000000003E-2</v>
      </c>
      <c r="J7" s="1"/>
      <c r="K7" s="25"/>
      <c r="L7" s="26">
        <f t="shared" ref="L7:M7" si="6">D7-C7</f>
        <v>-1621</v>
      </c>
      <c r="M7" s="27">
        <f t="shared" si="6"/>
        <v>1644</v>
      </c>
      <c r="N7" s="1"/>
      <c r="O7" s="28"/>
      <c r="P7" s="29">
        <f t="shared" ref="P7:Q7" si="7">L7/C7</f>
        <v>-0.47287047841306884</v>
      </c>
      <c r="Q7" s="30">
        <f t="shared" si="7"/>
        <v>0.90979524073049256</v>
      </c>
      <c r="R7" s="1"/>
      <c r="S7" s="28"/>
      <c r="T7" s="29">
        <f t="shared" ref="T7:U7" si="8">D7/C7</f>
        <v>0.52712952158693116</v>
      </c>
      <c r="U7" s="30">
        <f t="shared" si="8"/>
        <v>1.9097952407304926</v>
      </c>
      <c r="V7" s="2"/>
      <c r="W7" s="2"/>
      <c r="X7" s="2"/>
      <c r="Y7" s="2"/>
    </row>
    <row r="8" spans="1:25" x14ac:dyDescent="0.2">
      <c r="A8" s="1"/>
      <c r="B8" s="31" t="s">
        <v>8</v>
      </c>
      <c r="C8" s="32">
        <v>162</v>
      </c>
      <c r="D8" s="32">
        <v>124</v>
      </c>
      <c r="E8" s="32">
        <v>103</v>
      </c>
      <c r="F8" s="1"/>
      <c r="G8" s="33">
        <v>2.92E-2</v>
      </c>
      <c r="H8" s="29">
        <v>8.0000000000000002E-3</v>
      </c>
      <c r="I8" s="30">
        <v>3.0999999999999999E-3</v>
      </c>
      <c r="J8" s="1"/>
      <c r="K8" s="25"/>
      <c r="L8" s="26">
        <f t="shared" ref="L8:M8" si="9">D8-C8</f>
        <v>-38</v>
      </c>
      <c r="M8" s="27">
        <f t="shared" si="9"/>
        <v>-21</v>
      </c>
      <c r="N8" s="1"/>
      <c r="O8" s="28"/>
      <c r="P8" s="29">
        <f t="shared" ref="P8:Q8" si="10">L8/C8</f>
        <v>-0.23456790123456789</v>
      </c>
      <c r="Q8" s="30">
        <f t="shared" si="10"/>
        <v>-0.16935483870967741</v>
      </c>
      <c r="R8" s="1"/>
      <c r="S8" s="28"/>
      <c r="T8" s="29">
        <f t="shared" ref="T8:U8" si="11">D8/C8</f>
        <v>0.76543209876543206</v>
      </c>
      <c r="U8" s="30">
        <f t="shared" si="11"/>
        <v>0.83064516129032262</v>
      </c>
      <c r="V8" s="2"/>
      <c r="W8" s="2"/>
      <c r="X8" s="2"/>
      <c r="Y8" s="2"/>
    </row>
    <row r="9" spans="1:25" x14ac:dyDescent="0.2">
      <c r="A9" s="1"/>
      <c r="B9" s="31" t="s">
        <v>9</v>
      </c>
      <c r="C9" s="32">
        <v>23827</v>
      </c>
      <c r="D9" s="32">
        <v>25436</v>
      </c>
      <c r="E9" s="32">
        <v>16213</v>
      </c>
      <c r="F9" s="1"/>
      <c r="G9" s="33">
        <v>0</v>
      </c>
      <c r="H9" s="29">
        <v>0</v>
      </c>
      <c r="I9" s="30">
        <v>3.3099999999999997E-2</v>
      </c>
      <c r="J9" s="1"/>
      <c r="K9" s="25"/>
      <c r="L9" s="26">
        <f t="shared" ref="L9:M9" si="12">D9-C9</f>
        <v>1609</v>
      </c>
      <c r="M9" s="27">
        <f t="shared" si="12"/>
        <v>-9223</v>
      </c>
      <c r="N9" s="1"/>
      <c r="O9" s="28"/>
      <c r="P9" s="29">
        <f t="shared" ref="P9:Q9" si="13">L9/C9</f>
        <v>6.7528434129349058E-2</v>
      </c>
      <c r="Q9" s="30">
        <f t="shared" si="13"/>
        <v>-0.36259632017612831</v>
      </c>
      <c r="R9" s="1"/>
      <c r="S9" s="28"/>
      <c r="T9" s="29">
        <f t="shared" ref="T9:U9" si="14">D9/C9</f>
        <v>1.0675284341293492</v>
      </c>
      <c r="U9" s="30">
        <f t="shared" si="14"/>
        <v>0.63740367982387169</v>
      </c>
      <c r="V9" s="2"/>
      <c r="W9" s="2"/>
      <c r="X9" s="2"/>
      <c r="Y9" s="2"/>
    </row>
    <row r="10" spans="1:25" x14ac:dyDescent="0.2">
      <c r="A10" s="1"/>
      <c r="B10" s="31" t="s">
        <v>10</v>
      </c>
      <c r="C10" s="32">
        <v>1438</v>
      </c>
      <c r="D10" s="32">
        <v>875</v>
      </c>
      <c r="E10" s="32">
        <v>1023</v>
      </c>
      <c r="F10" s="1"/>
      <c r="G10" s="33">
        <v>7.5999999999999998E-2</v>
      </c>
      <c r="H10" s="29">
        <v>4.3900000000000002E-2</v>
      </c>
      <c r="I10" s="30">
        <v>2.6800000000000001E-2</v>
      </c>
      <c r="J10" s="1"/>
      <c r="K10" s="25"/>
      <c r="L10" s="26">
        <f t="shared" ref="L10:M10" si="15">D10-C10</f>
        <v>-563</v>
      </c>
      <c r="M10" s="27">
        <f t="shared" si="15"/>
        <v>148</v>
      </c>
      <c r="N10" s="1"/>
      <c r="O10" s="28"/>
      <c r="P10" s="29">
        <f t="shared" ref="P10:Q10" si="16">L10/C10</f>
        <v>-0.39151599443671764</v>
      </c>
      <c r="Q10" s="30">
        <f t="shared" si="16"/>
        <v>0.16914285714285715</v>
      </c>
      <c r="R10" s="1"/>
      <c r="S10" s="28"/>
      <c r="T10" s="29">
        <f t="shared" ref="T10:U10" si="17">D10/C10</f>
        <v>0.6084840055632823</v>
      </c>
      <c r="U10" s="30">
        <f t="shared" si="17"/>
        <v>1.169142857142857</v>
      </c>
      <c r="V10" s="2"/>
      <c r="W10" s="2"/>
      <c r="X10" s="2"/>
      <c r="Y10" s="2"/>
    </row>
    <row r="11" spans="1:25" ht="15.75" customHeight="1" x14ac:dyDescent="0.25">
      <c r="A11" s="1"/>
      <c r="B11" s="20" t="s">
        <v>11</v>
      </c>
      <c r="C11" s="21">
        <v>6735</v>
      </c>
      <c r="D11" s="21">
        <v>7611</v>
      </c>
      <c r="E11" s="21">
        <v>7594</v>
      </c>
      <c r="F11" s="1"/>
      <c r="G11" s="22">
        <v>0.63060000000000005</v>
      </c>
      <c r="H11" s="23">
        <v>0.85470000000000002</v>
      </c>
      <c r="I11" s="24">
        <v>0.84760000000000002</v>
      </c>
      <c r="J11" s="1"/>
      <c r="K11" s="25"/>
      <c r="L11" s="26">
        <f t="shared" ref="L11:M11" si="18">D11-C11</f>
        <v>876</v>
      </c>
      <c r="M11" s="27">
        <f t="shared" si="18"/>
        <v>-17</v>
      </c>
      <c r="N11" s="1"/>
      <c r="O11" s="28"/>
      <c r="P11" s="29">
        <f t="shared" ref="P11:Q11" si="19">L11/C11</f>
        <v>0.13006681514476615</v>
      </c>
      <c r="Q11" s="30">
        <f t="shared" si="19"/>
        <v>-2.2336092497700698E-3</v>
      </c>
      <c r="R11" s="1"/>
      <c r="S11" s="28"/>
      <c r="T11" s="29">
        <f t="shared" ref="T11:U11" si="20">D11/C11</f>
        <v>1.1300668151447661</v>
      </c>
      <c r="U11" s="30">
        <f t="shared" si="20"/>
        <v>0.99776639075022988</v>
      </c>
      <c r="V11" s="2"/>
      <c r="W11" s="2"/>
      <c r="X11" s="2"/>
      <c r="Y11" s="2"/>
    </row>
    <row r="12" spans="1:25" x14ac:dyDescent="0.2">
      <c r="A12" s="1"/>
      <c r="B12" s="31" t="s">
        <v>12</v>
      </c>
      <c r="C12" s="32">
        <v>2661</v>
      </c>
      <c r="D12" s="32">
        <v>3093</v>
      </c>
      <c r="E12" s="32">
        <v>2130</v>
      </c>
      <c r="F12" s="1"/>
      <c r="G12" s="33">
        <v>0.44209999999999999</v>
      </c>
      <c r="H12" s="29">
        <v>0.42259999999999998</v>
      </c>
      <c r="I12" s="30">
        <v>0.27910000000000001</v>
      </c>
      <c r="J12" s="1"/>
      <c r="K12" s="25"/>
      <c r="L12" s="26">
        <f t="shared" ref="L12:M12" si="21">D12-C12</f>
        <v>432</v>
      </c>
      <c r="M12" s="27">
        <f t="shared" si="21"/>
        <v>-963</v>
      </c>
      <c r="N12" s="1"/>
      <c r="O12" s="28"/>
      <c r="P12" s="29">
        <f t="shared" ref="P12:Q12" si="22">L12/C12</f>
        <v>0.16234498308906425</v>
      </c>
      <c r="Q12" s="30">
        <f t="shared" si="22"/>
        <v>-0.31134820562560622</v>
      </c>
      <c r="R12" s="1"/>
      <c r="S12" s="28"/>
      <c r="T12" s="29">
        <f t="shared" ref="T12:U12" si="23">D12/C12</f>
        <v>1.1623449830890642</v>
      </c>
      <c r="U12" s="30">
        <f t="shared" si="23"/>
        <v>0.68865179437439383</v>
      </c>
      <c r="V12" s="2"/>
      <c r="W12" s="2"/>
      <c r="X12" s="2"/>
      <c r="Y12" s="2"/>
    </row>
    <row r="13" spans="1:25" x14ac:dyDescent="0.2">
      <c r="A13" s="1"/>
      <c r="B13" s="31" t="s">
        <v>13</v>
      </c>
      <c r="C13" s="32">
        <v>28</v>
      </c>
      <c r="D13" s="32">
        <v>33</v>
      </c>
      <c r="E13" s="32">
        <v>320</v>
      </c>
      <c r="F13" s="1"/>
      <c r="G13" s="33">
        <v>1.8200000000000001E-2</v>
      </c>
      <c r="H13" s="29">
        <v>1.9900000000000001E-2</v>
      </c>
      <c r="I13" s="30">
        <v>6.1000000000000004E-3</v>
      </c>
      <c r="J13" s="1"/>
      <c r="K13" s="25"/>
      <c r="L13" s="26">
        <f t="shared" ref="L13:M13" si="24">D13-C13</f>
        <v>5</v>
      </c>
      <c r="M13" s="27">
        <f t="shared" si="24"/>
        <v>287</v>
      </c>
      <c r="N13" s="1"/>
      <c r="O13" s="28"/>
      <c r="P13" s="29">
        <f t="shared" ref="P13:Q13" si="25">L13/C13</f>
        <v>0.17857142857142858</v>
      </c>
      <c r="Q13" s="30">
        <f t="shared" si="25"/>
        <v>8.6969696969696972</v>
      </c>
      <c r="R13" s="1"/>
      <c r="S13" s="28"/>
      <c r="T13" s="29">
        <f t="shared" ref="T13:U13" si="26">D13/C13</f>
        <v>1.1785714285714286</v>
      </c>
      <c r="U13" s="30">
        <f t="shared" si="26"/>
        <v>9.6969696969696972</v>
      </c>
      <c r="V13" s="2"/>
      <c r="W13" s="2"/>
      <c r="X13" s="2"/>
      <c r="Y13" s="2"/>
    </row>
    <row r="14" spans="1:25" x14ac:dyDescent="0.2">
      <c r="A14" s="1"/>
      <c r="B14" s="31" t="s">
        <v>14</v>
      </c>
      <c r="C14" s="32">
        <v>16</v>
      </c>
      <c r="D14" s="32">
        <v>22</v>
      </c>
      <c r="E14" s="32">
        <v>23</v>
      </c>
      <c r="F14" s="1"/>
      <c r="G14" s="33">
        <v>8.3000000000000001E-3</v>
      </c>
      <c r="H14" s="29">
        <v>9.4000000000000004E-3</v>
      </c>
      <c r="I14" s="30">
        <v>3.7000000000000002E-3</v>
      </c>
      <c r="J14" s="1"/>
      <c r="K14" s="25"/>
      <c r="L14" s="26">
        <f t="shared" ref="L14:M14" si="27">D14-C14</f>
        <v>6</v>
      </c>
      <c r="M14" s="27">
        <f t="shared" si="27"/>
        <v>1</v>
      </c>
      <c r="N14" s="1"/>
      <c r="O14" s="28"/>
      <c r="P14" s="29">
        <f t="shared" ref="P14:Q14" si="28">L14/C14</f>
        <v>0.375</v>
      </c>
      <c r="Q14" s="30">
        <f t="shared" si="28"/>
        <v>4.5454545454545456E-2</v>
      </c>
      <c r="R14" s="1"/>
      <c r="S14" s="28"/>
      <c r="T14" s="29">
        <f t="shared" ref="T14:U14" si="29">D14/C14</f>
        <v>1.375</v>
      </c>
      <c r="U14" s="30">
        <f t="shared" si="29"/>
        <v>1.0454545454545454</v>
      </c>
      <c r="V14" s="2"/>
      <c r="W14" s="2"/>
      <c r="X14" s="2"/>
      <c r="Y14" s="2"/>
    </row>
    <row r="15" spans="1:25" x14ac:dyDescent="0.2">
      <c r="A15" s="1"/>
      <c r="B15" s="31" t="s">
        <v>15</v>
      </c>
      <c r="C15" s="32">
        <v>3512</v>
      </c>
      <c r="D15" s="32">
        <v>4166</v>
      </c>
      <c r="E15" s="32">
        <v>0</v>
      </c>
      <c r="F15" s="1"/>
      <c r="G15" s="33">
        <v>2.0000000000000001E-4</v>
      </c>
      <c r="H15" s="29">
        <v>0</v>
      </c>
      <c r="I15" s="30">
        <v>0</v>
      </c>
      <c r="J15" s="1"/>
      <c r="K15" s="25"/>
      <c r="L15" s="26">
        <f t="shared" ref="L15:M15" si="30">D15-C15</f>
        <v>654</v>
      </c>
      <c r="M15" s="27">
        <f t="shared" si="30"/>
        <v>-4166</v>
      </c>
      <c r="N15" s="1"/>
      <c r="O15" s="28"/>
      <c r="P15" s="29">
        <f t="shared" ref="P15:Q15" si="31">L15/C15</f>
        <v>0.18621867881548976</v>
      </c>
      <c r="Q15" s="30">
        <f t="shared" si="31"/>
        <v>-1</v>
      </c>
      <c r="R15" s="1"/>
      <c r="S15" s="28"/>
      <c r="T15" s="29">
        <f t="shared" ref="T15:U15" si="32">D15/C15</f>
        <v>1.1862186788154898</v>
      </c>
      <c r="U15" s="30">
        <f t="shared" si="32"/>
        <v>0</v>
      </c>
      <c r="V15" s="2"/>
      <c r="W15" s="2"/>
      <c r="X15" s="2"/>
      <c r="Y15" s="2"/>
    </row>
    <row r="16" spans="1:25" x14ac:dyDescent="0.2">
      <c r="A16" s="1"/>
      <c r="B16" s="31" t="s">
        <v>16</v>
      </c>
      <c r="C16" s="32">
        <v>212</v>
      </c>
      <c r="D16" s="32">
        <v>243</v>
      </c>
      <c r="E16" s="32">
        <v>251</v>
      </c>
      <c r="F16" s="1"/>
      <c r="G16" s="33">
        <v>7.6E-3</v>
      </c>
      <c r="H16" s="29">
        <v>7.0000000000000001E-3</v>
      </c>
      <c r="I16" s="30">
        <v>5.4000000000000003E-3</v>
      </c>
      <c r="J16" s="1"/>
      <c r="K16" s="25"/>
      <c r="L16" s="26">
        <f t="shared" ref="L16:M16" si="33">D16-C16</f>
        <v>31</v>
      </c>
      <c r="M16" s="27">
        <f t="shared" si="33"/>
        <v>8</v>
      </c>
      <c r="N16" s="1"/>
      <c r="O16" s="28"/>
      <c r="P16" s="29">
        <f t="shared" ref="P16:Q16" si="34">L16/C16</f>
        <v>0.14622641509433962</v>
      </c>
      <c r="Q16" s="30">
        <f t="shared" si="34"/>
        <v>3.292181069958848E-2</v>
      </c>
      <c r="R16" s="1"/>
      <c r="S16" s="28"/>
      <c r="T16" s="29">
        <f t="shared" ref="T16:U16" si="35">D16/C16</f>
        <v>1.1462264150943395</v>
      </c>
      <c r="U16" s="30">
        <f t="shared" si="35"/>
        <v>1.0329218106995885</v>
      </c>
      <c r="V16" s="2"/>
      <c r="W16" s="2"/>
      <c r="X16" s="2"/>
      <c r="Y16" s="2"/>
    </row>
    <row r="17" spans="1:25" x14ac:dyDescent="0.2">
      <c r="A17" s="1"/>
      <c r="B17" s="31" t="s">
        <v>17</v>
      </c>
      <c r="C17" s="32">
        <v>306</v>
      </c>
      <c r="D17" s="32">
        <v>54</v>
      </c>
      <c r="E17" s="32">
        <v>4870</v>
      </c>
      <c r="F17" s="1"/>
      <c r="G17" s="34">
        <v>0.1542</v>
      </c>
      <c r="H17" s="35">
        <v>0.16980000000000001</v>
      </c>
      <c r="I17" s="36">
        <v>0.21659999999999999</v>
      </c>
      <c r="J17" s="1"/>
      <c r="K17" s="37"/>
      <c r="L17" s="38">
        <f t="shared" ref="L17:M17" si="36">D17-C17</f>
        <v>-252</v>
      </c>
      <c r="M17" s="39">
        <f t="shared" si="36"/>
        <v>4816</v>
      </c>
      <c r="N17" s="1"/>
      <c r="O17" s="40"/>
      <c r="P17" s="35">
        <f t="shared" ref="P17:Q17" si="37">L17/C17</f>
        <v>-0.82352941176470584</v>
      </c>
      <c r="Q17" s="36">
        <f t="shared" si="37"/>
        <v>89.18518518518519</v>
      </c>
      <c r="R17" s="1"/>
      <c r="S17" s="40"/>
      <c r="T17" s="35">
        <f t="shared" ref="T17:U17" si="38">D17/C17</f>
        <v>0.17647058823529413</v>
      </c>
      <c r="U17" s="36">
        <f t="shared" si="38"/>
        <v>90.18518518518519</v>
      </c>
      <c r="V17" s="2"/>
      <c r="W17" s="2"/>
      <c r="X17" s="2"/>
      <c r="Y17" s="2"/>
    </row>
    <row r="18" spans="1:25" x14ac:dyDescent="0.2">
      <c r="A18" s="1"/>
      <c r="B18" s="31"/>
      <c r="C18" s="32"/>
      <c r="D18" s="32"/>
      <c r="E18" s="3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</row>
    <row r="19" spans="1:25" ht="15.75" customHeight="1" x14ac:dyDescent="0.25">
      <c r="A19" s="1"/>
      <c r="B19" s="41" t="s">
        <v>18</v>
      </c>
      <c r="C19" s="42">
        <v>35594</v>
      </c>
      <c r="D19" s="42">
        <v>35963</v>
      </c>
      <c r="E19" s="42">
        <v>28579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</row>
    <row r="20" spans="1:25" ht="15.75" customHeight="1" x14ac:dyDescent="0.25">
      <c r="A20" s="1"/>
      <c r="B20" s="43"/>
      <c r="C20" s="43"/>
      <c r="D20" s="43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</row>
    <row r="21" spans="1:25" ht="15.75" customHeight="1" x14ac:dyDescent="0.25">
      <c r="A21" s="1"/>
      <c r="B21" s="4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</row>
    <row r="22" spans="1:25" ht="15.75" customHeight="1" x14ac:dyDescent="0.25">
      <c r="A22" s="1"/>
      <c r="B22" s="4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</row>
    <row r="23" spans="1:25" ht="15.75" customHeight="1" x14ac:dyDescent="0.25">
      <c r="A23" s="1"/>
      <c r="B23" s="45"/>
      <c r="C23" s="46">
        <v>2020</v>
      </c>
      <c r="D23" s="46">
        <v>2021</v>
      </c>
      <c r="E23" s="46">
        <v>2022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</row>
    <row r="24" spans="1:25" x14ac:dyDescent="0.2">
      <c r="A24" s="1"/>
      <c r="B24" s="47" t="s">
        <v>19</v>
      </c>
      <c r="C24" s="48"/>
      <c r="D24" s="49">
        <f t="shared" ref="D24:E24" si="39">D19/C19</f>
        <v>1.0103669157723212</v>
      </c>
      <c r="E24" s="49">
        <f t="shared" si="39"/>
        <v>0.79467786335956403</v>
      </c>
      <c r="F24" s="1"/>
      <c r="G24" s="1" t="s">
        <v>20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</row>
    <row r="25" spans="1:25" x14ac:dyDescent="0.2">
      <c r="A25" s="1"/>
      <c r="B25" s="47" t="s">
        <v>21</v>
      </c>
      <c r="C25" s="49">
        <f t="shared" ref="C25:E25" si="40">C5/C19</f>
        <v>0.81078271618812159</v>
      </c>
      <c r="D25" s="49">
        <f t="shared" si="40"/>
        <v>0.78836582042654946</v>
      </c>
      <c r="E25" s="49">
        <f t="shared" si="40"/>
        <v>0.73428041568984215</v>
      </c>
      <c r="F25" s="1"/>
      <c r="G25" s="1" t="s">
        <v>22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</row>
    <row r="26" spans="1:25" x14ac:dyDescent="0.2">
      <c r="A26" s="1"/>
      <c r="B26" s="47" t="s">
        <v>23</v>
      </c>
      <c r="C26" s="49">
        <f t="shared" ref="C26:E26" si="41">C11/C19</f>
        <v>0.18921728381187841</v>
      </c>
      <c r="D26" s="49">
        <f t="shared" si="41"/>
        <v>0.21163417957345049</v>
      </c>
      <c r="E26" s="49">
        <f t="shared" si="41"/>
        <v>0.2657195843101578</v>
      </c>
      <c r="F26" s="1"/>
      <c r="G26" s="1" t="s">
        <v>24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</row>
    <row r="27" spans="1:25" x14ac:dyDescent="0.2">
      <c r="A27" s="1"/>
      <c r="B27" s="47" t="s">
        <v>25</v>
      </c>
      <c r="C27" s="48">
        <f t="shared" ref="C27:E27" si="42">C5/C11</f>
        <v>4.2849294729027472</v>
      </c>
      <c r="D27" s="48">
        <f t="shared" si="42"/>
        <v>3.7251346734988831</v>
      </c>
      <c r="E27" s="48">
        <f t="shared" si="42"/>
        <v>2.7633658151171976</v>
      </c>
      <c r="F27" s="1"/>
      <c r="G27" s="1" t="s">
        <v>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</row>
    <row r="28" spans="1:25" x14ac:dyDescent="0.2">
      <c r="A28" s="1"/>
      <c r="B28" s="47"/>
      <c r="C28" s="48"/>
      <c r="D28" s="48"/>
      <c r="E28" s="4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</row>
    <row r="29" spans="1:25" x14ac:dyDescent="0.2">
      <c r="A29" s="1"/>
      <c r="B29" s="47" t="s">
        <v>27</v>
      </c>
      <c r="C29" s="48">
        <f t="shared" ref="C29:E29" si="43">C6/C19</f>
        <v>1.1237849075686913E-4</v>
      </c>
      <c r="D29" s="48">
        <f t="shared" si="43"/>
        <v>3.0586992186413813E-3</v>
      </c>
      <c r="E29" s="48">
        <f t="shared" si="43"/>
        <v>6.8231918541586476E-3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</row>
    <row r="30" spans="1:25" x14ac:dyDescent="0.2">
      <c r="A30" s="1"/>
      <c r="B30" s="47" t="s">
        <v>28</v>
      </c>
      <c r="C30" s="48">
        <f t="shared" ref="C30:E30" si="44">C8/C19</f>
        <v>4.5513288756531996E-3</v>
      </c>
      <c r="D30" s="48">
        <f t="shared" si="44"/>
        <v>3.4479882101048302E-3</v>
      </c>
      <c r="E30" s="48">
        <f t="shared" si="44"/>
        <v>3.604044928094055E-3</v>
      </c>
      <c r="F30" s="1"/>
      <c r="G30" s="1" t="s">
        <v>29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</row>
    <row r="31" spans="1:25" x14ac:dyDescent="0.2">
      <c r="A31" s="1"/>
      <c r="B31" s="47" t="s">
        <v>30</v>
      </c>
      <c r="C31" s="48">
        <f t="shared" ref="C31:E31" si="45">C9/C19</f>
        <v>0.66941057481598021</v>
      </c>
      <c r="D31" s="48">
        <f t="shared" si="45"/>
        <v>0.70728248477601985</v>
      </c>
      <c r="E31" s="48">
        <f t="shared" si="45"/>
        <v>0.56730466426397008</v>
      </c>
      <c r="F31" s="1"/>
      <c r="G31" s="1" t="s">
        <v>31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</row>
    <row r="32" spans="1:25" x14ac:dyDescent="0.2">
      <c r="A32" s="1"/>
      <c r="B32" s="47" t="s">
        <v>32</v>
      </c>
      <c r="C32" s="48">
        <f t="shared" ref="C32:E32" si="46">C10/C19</f>
        <v>4.0400067427094455E-2</v>
      </c>
      <c r="D32" s="48">
        <f t="shared" si="46"/>
        <v>2.4330561966465533E-2</v>
      </c>
      <c r="E32" s="48">
        <f t="shared" si="46"/>
        <v>3.5795514188739982E-2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</row>
    <row r="33" spans="1:25" x14ac:dyDescent="0.2">
      <c r="A33" s="1"/>
      <c r="B33" s="47" t="s">
        <v>33</v>
      </c>
      <c r="C33" s="48">
        <f t="shared" ref="C33:E33" si="47">(C12+C13+C14)/C19</f>
        <v>7.599595437433275E-2</v>
      </c>
      <c r="D33" s="48">
        <f t="shared" si="47"/>
        <v>8.7534410366209722E-2</v>
      </c>
      <c r="E33" s="48">
        <f t="shared" si="47"/>
        <v>8.6532069001714548E-2</v>
      </c>
      <c r="F33" s="1"/>
      <c r="G33" s="1" t="s">
        <v>34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</row>
    <row r="34" spans="1:25" x14ac:dyDescent="0.2">
      <c r="A34" s="1"/>
      <c r="B34" s="47"/>
      <c r="C34" s="48"/>
      <c r="D34" s="48"/>
      <c r="E34" s="4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</row>
    <row r="35" spans="1:25" x14ac:dyDescent="0.2">
      <c r="A35" s="1"/>
      <c r="B35" s="47" t="s">
        <v>35</v>
      </c>
      <c r="C35" s="48">
        <f>'PASYWA ANALIZA'!C5/C5</f>
        <v>0.95242385391039186</v>
      </c>
      <c r="D35" s="48">
        <f>'PASYWA ANALIZA'!D5/D5</f>
        <v>0.99541478555304741</v>
      </c>
      <c r="E35" s="48">
        <f>'PASYWA ANALIZA'!E5/E5</f>
        <v>1.0480819633071241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</row>
    <row r="36" spans="1:25" x14ac:dyDescent="0.2">
      <c r="A36" s="1"/>
      <c r="B36" s="47" t="s">
        <v>36</v>
      </c>
      <c r="C36" s="48">
        <f>('PASYWA ANALIZA'!C5+'PASYWA ANALIZA'!C14)/C5</f>
        <v>1.0986174157108701</v>
      </c>
      <c r="D36" s="48">
        <f>('PASYWA ANALIZA'!D5+'PASYWA ANALIZA'!D14)/D5</f>
        <v>1.0427130361173815</v>
      </c>
      <c r="E36" s="48">
        <f>('PASYWA ANALIZA'!E5+'PASYWA ANALIZA'!E14)/E5</f>
        <v>1.2323087919942817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</row>
    <row r="37" spans="1:25" ht="15" x14ac:dyDescent="0.2">
      <c r="A37" s="1"/>
      <c r="B37" s="47"/>
      <c r="C37" s="48"/>
      <c r="D37" s="48"/>
      <c r="E37" s="4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</row>
    <row r="38" spans="1:25" ht="15" x14ac:dyDescent="0.2">
      <c r="A38" s="1"/>
      <c r="B38" s="47" t="s">
        <v>37</v>
      </c>
      <c r="C38" s="50">
        <f>('PASYWA ANALIZA'!C5+'PASYWA ANALIZA'!C14)-C5</f>
        <v>2846</v>
      </c>
      <c r="D38" s="50">
        <f>('PASYWA ANALIZA'!D5+'PASYWA ANALIZA'!D14)-D5</f>
        <v>1211</v>
      </c>
      <c r="E38" s="50">
        <f>('PASYWA ANALIZA'!E5+'PASYWA ANALIZA'!E14)-E5</f>
        <v>4875</v>
      </c>
      <c r="F38" s="1"/>
      <c r="G38" s="1" t="s">
        <v>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</row>
    <row r="39" spans="1:25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 t="s">
        <v>222</v>
      </c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4"/>
  <sheetViews>
    <sheetView topLeftCell="A20" zoomScale="40" zoomScaleNormal="40" workbookViewId="0">
      <selection activeCell="U80" sqref="U80"/>
    </sheetView>
  </sheetViews>
  <sheetFormatPr defaultColWidth="12.5703125" defaultRowHeight="15.75" customHeight="1" x14ac:dyDescent="0.2"/>
  <cols>
    <col min="2" max="2" width="79.42578125" customWidth="1"/>
  </cols>
  <sheetData>
    <row r="1" spans="1:30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5">
      <c r="A2" s="1"/>
      <c r="B2" s="1"/>
      <c r="C2" s="1"/>
      <c r="D2" s="1"/>
      <c r="E2" s="1"/>
      <c r="F2" s="2"/>
      <c r="G2" s="51"/>
      <c r="H2" s="52" t="s">
        <v>0</v>
      </c>
      <c r="I2" s="53"/>
      <c r="J2" s="54"/>
      <c r="K2" s="55"/>
      <c r="L2" s="52" t="s">
        <v>39</v>
      </c>
      <c r="M2" s="53"/>
      <c r="N2" s="54"/>
      <c r="O2" s="51"/>
      <c r="P2" s="52" t="s">
        <v>1</v>
      </c>
      <c r="Q2" s="53"/>
      <c r="R2" s="54"/>
      <c r="S2" s="51"/>
      <c r="T2" s="52" t="s">
        <v>2</v>
      </c>
      <c r="U2" s="53"/>
      <c r="V2" s="54"/>
      <c r="W2" s="51"/>
      <c r="X2" s="52" t="s">
        <v>3</v>
      </c>
      <c r="Y2" s="53"/>
      <c r="Z2" s="2"/>
      <c r="AA2" s="2"/>
      <c r="AB2" s="2"/>
      <c r="AC2" s="2"/>
      <c r="AD2" s="2"/>
    </row>
    <row r="3" spans="1:30" ht="15.75" customHeight="1" x14ac:dyDescent="0.25">
      <c r="A3" s="1"/>
      <c r="B3" s="7" t="s">
        <v>40</v>
      </c>
      <c r="C3" s="56">
        <v>2020</v>
      </c>
      <c r="D3" s="56">
        <v>2021</v>
      </c>
      <c r="E3" s="56">
        <v>2022</v>
      </c>
      <c r="F3" s="2"/>
      <c r="G3" s="57">
        <v>2020</v>
      </c>
      <c r="H3" s="56">
        <v>2021</v>
      </c>
      <c r="I3" s="56">
        <v>2022</v>
      </c>
      <c r="J3" s="54"/>
      <c r="K3" s="57">
        <v>2020</v>
      </c>
      <c r="L3" s="56">
        <v>2021</v>
      </c>
      <c r="M3" s="56">
        <v>2022</v>
      </c>
      <c r="N3" s="54"/>
      <c r="O3" s="57">
        <v>2020</v>
      </c>
      <c r="P3" s="56">
        <v>2021</v>
      </c>
      <c r="Q3" s="56">
        <v>2022</v>
      </c>
      <c r="R3" s="54"/>
      <c r="S3" s="57">
        <v>2020</v>
      </c>
      <c r="T3" s="56">
        <v>2021</v>
      </c>
      <c r="U3" s="56">
        <v>2022</v>
      </c>
      <c r="V3" s="54"/>
      <c r="W3" s="57">
        <v>2020</v>
      </c>
      <c r="X3" s="56">
        <v>2021</v>
      </c>
      <c r="Y3" s="56">
        <v>2022</v>
      </c>
      <c r="Z3" s="2"/>
      <c r="AA3" s="2"/>
      <c r="AB3" s="2"/>
      <c r="AC3" s="2"/>
      <c r="AD3" s="2"/>
    </row>
    <row r="4" spans="1:30" x14ac:dyDescent="0.2">
      <c r="A4" s="1"/>
      <c r="B4" s="58"/>
      <c r="C4" s="59"/>
      <c r="D4" s="59"/>
      <c r="E4" s="59"/>
      <c r="F4" s="2"/>
      <c r="G4" s="60"/>
      <c r="H4" s="54"/>
      <c r="I4" s="61"/>
      <c r="J4" s="54"/>
      <c r="K4" s="60"/>
      <c r="L4" s="54"/>
      <c r="M4" s="61"/>
      <c r="N4" s="54"/>
      <c r="O4" s="60"/>
      <c r="P4" s="54"/>
      <c r="Q4" s="61"/>
      <c r="R4" s="54"/>
      <c r="S4" s="60"/>
      <c r="T4" s="54"/>
      <c r="U4" s="61"/>
      <c r="V4" s="54"/>
      <c r="W4" s="62"/>
      <c r="X4" s="63"/>
      <c r="Y4" s="64"/>
      <c r="Z4" s="2"/>
      <c r="AA4" s="2"/>
      <c r="AB4" s="2"/>
      <c r="AC4" s="2"/>
      <c r="AD4" s="2"/>
    </row>
    <row r="5" spans="1:30" ht="15.75" customHeight="1" x14ac:dyDescent="0.25">
      <c r="A5" s="1"/>
      <c r="B5" s="20" t="s">
        <v>41</v>
      </c>
      <c r="C5" s="21">
        <v>27486</v>
      </c>
      <c r="D5" s="21">
        <v>28222</v>
      </c>
      <c r="E5" s="21">
        <v>21994</v>
      </c>
      <c r="F5" s="2"/>
      <c r="G5" s="65">
        <f t="shared" ref="G5:I5" si="0">C5/C$26</f>
        <v>0.7722087992358263</v>
      </c>
      <c r="H5" s="66">
        <f t="shared" si="0"/>
        <v>0.78475099407724602</v>
      </c>
      <c r="I5" s="67">
        <f t="shared" si="0"/>
        <v>0.76958605969418103</v>
      </c>
      <c r="J5" s="54"/>
      <c r="K5" s="60"/>
      <c r="L5" s="54"/>
      <c r="M5" s="61"/>
      <c r="N5" s="54"/>
      <c r="O5" s="60"/>
      <c r="P5" s="68">
        <f t="shared" ref="P5:Q5" si="1">D5-C5</f>
        <v>736</v>
      </c>
      <c r="Q5" s="69">
        <f t="shared" si="1"/>
        <v>-6228</v>
      </c>
      <c r="R5" s="54"/>
      <c r="S5" s="60"/>
      <c r="T5" s="70">
        <f t="shared" ref="T5:U5" si="2">P5/C5</f>
        <v>2.6777268427563124E-2</v>
      </c>
      <c r="U5" s="71">
        <f t="shared" si="2"/>
        <v>-0.22067890298348805</v>
      </c>
      <c r="V5" s="54"/>
      <c r="W5" s="60"/>
      <c r="X5" s="70">
        <f t="shared" ref="X5:Y5" si="3">D5/C5</f>
        <v>1.0267772684275631</v>
      </c>
      <c r="Y5" s="71">
        <f t="shared" si="3"/>
        <v>0.77932109701651198</v>
      </c>
      <c r="Z5" s="2"/>
      <c r="AA5" s="2"/>
      <c r="AB5" s="2"/>
      <c r="AC5" s="2"/>
      <c r="AD5" s="2"/>
    </row>
    <row r="6" spans="1:30" x14ac:dyDescent="0.2">
      <c r="A6" s="1"/>
      <c r="B6" s="31" t="s">
        <v>42</v>
      </c>
      <c r="C6" s="32">
        <v>2319</v>
      </c>
      <c r="D6" s="32">
        <v>2318</v>
      </c>
      <c r="E6" s="32">
        <v>2468</v>
      </c>
      <c r="F6" s="2"/>
      <c r="G6" s="72">
        <f t="shared" ref="G6:I6" si="4">C6/C$26</f>
        <v>6.5151430016294878E-2</v>
      </c>
      <c r="H6" s="70">
        <f t="shared" si="4"/>
        <v>6.4455134443733839E-2</v>
      </c>
      <c r="I6" s="71">
        <f t="shared" si="4"/>
        <v>8.635711536442843E-2</v>
      </c>
      <c r="J6" s="54"/>
      <c r="K6" s="72">
        <f t="shared" ref="K6:M6" si="5">C6/C$5</f>
        <v>8.4370224841737618E-2</v>
      </c>
      <c r="L6" s="70">
        <f t="shared" si="5"/>
        <v>8.2134504996102337E-2</v>
      </c>
      <c r="M6" s="71">
        <f t="shared" si="5"/>
        <v>0.11221242156951897</v>
      </c>
      <c r="N6" s="54"/>
      <c r="O6" s="60"/>
      <c r="P6" s="68">
        <f t="shared" ref="P6:Q6" si="6">D6-C6</f>
        <v>-1</v>
      </c>
      <c r="Q6" s="69">
        <f t="shared" si="6"/>
        <v>150</v>
      </c>
      <c r="R6" s="54"/>
      <c r="S6" s="60"/>
      <c r="T6" s="70">
        <f t="shared" ref="T6:U6" si="7">P6/C6</f>
        <v>-4.3122035360068997E-4</v>
      </c>
      <c r="U6" s="71">
        <f t="shared" si="7"/>
        <v>6.4710957722174292E-2</v>
      </c>
      <c r="V6" s="54"/>
      <c r="W6" s="60"/>
      <c r="X6" s="70">
        <f t="shared" ref="X6:Y6" si="8">D6/C6</f>
        <v>0.99956877964639934</v>
      </c>
      <c r="Y6" s="71">
        <f t="shared" si="8"/>
        <v>1.0647109577221743</v>
      </c>
      <c r="Z6" s="2"/>
      <c r="AA6" s="2"/>
      <c r="AB6" s="2"/>
      <c r="AC6" s="2"/>
      <c r="AD6" s="2"/>
    </row>
    <row r="7" spans="1:30" x14ac:dyDescent="0.2">
      <c r="A7" s="1"/>
      <c r="B7" s="31" t="s">
        <v>43</v>
      </c>
      <c r="C7" s="32">
        <v>5801</v>
      </c>
      <c r="D7" s="32">
        <v>5340</v>
      </c>
      <c r="E7" s="32">
        <v>7898</v>
      </c>
      <c r="F7" s="2"/>
      <c r="G7" s="72">
        <f t="shared" ref="G7:I7" si="9">C7/C$26</f>
        <v>0.16297690622014946</v>
      </c>
      <c r="H7" s="70">
        <f t="shared" si="9"/>
        <v>0.14848594388677253</v>
      </c>
      <c r="I7" s="71">
        <f t="shared" si="9"/>
        <v>0.27635676545715387</v>
      </c>
      <c r="J7" s="54"/>
      <c r="K7" s="72">
        <f t="shared" ref="K7:M7" si="10">C7/C$5</f>
        <v>0.21105289965800772</v>
      </c>
      <c r="L7" s="70">
        <f t="shared" si="10"/>
        <v>0.18921408829990788</v>
      </c>
      <c r="M7" s="71">
        <f t="shared" si="10"/>
        <v>0.3590979358006729</v>
      </c>
      <c r="N7" s="54"/>
      <c r="O7" s="60"/>
      <c r="P7" s="68">
        <f t="shared" ref="P7:Q7" si="11">D7-C7</f>
        <v>-461</v>
      </c>
      <c r="Q7" s="69">
        <f t="shared" si="11"/>
        <v>2558</v>
      </c>
      <c r="R7" s="54"/>
      <c r="S7" s="60"/>
      <c r="T7" s="70">
        <f t="shared" ref="T7:U7" si="12">P7/C7</f>
        <v>-7.946905705912774E-2</v>
      </c>
      <c r="U7" s="71">
        <f t="shared" si="12"/>
        <v>0.47902621722846445</v>
      </c>
      <c r="V7" s="54"/>
      <c r="W7" s="60"/>
      <c r="X7" s="70">
        <f t="shared" ref="X7:Y7" si="13">D7/C7</f>
        <v>0.92053094294087223</v>
      </c>
      <c r="Y7" s="71">
        <f t="shared" si="13"/>
        <v>1.4790262172284645</v>
      </c>
      <c r="Z7" s="2"/>
      <c r="AA7" s="2"/>
      <c r="AB7" s="2"/>
      <c r="AC7" s="2"/>
      <c r="AD7" s="2"/>
    </row>
    <row r="8" spans="1:30" x14ac:dyDescent="0.2">
      <c r="A8" s="1"/>
      <c r="B8" s="31" t="s">
        <v>44</v>
      </c>
      <c r="C8" s="32">
        <v>18806</v>
      </c>
      <c r="D8" s="32">
        <v>16373</v>
      </c>
      <c r="E8" s="32">
        <v>3534</v>
      </c>
      <c r="F8" s="2"/>
      <c r="G8" s="72">
        <f t="shared" ref="G8:I8" si="14">C8/C$26</f>
        <v>0.52834747429342022</v>
      </c>
      <c r="H8" s="70">
        <f t="shared" si="14"/>
        <v>0.45527347551650305</v>
      </c>
      <c r="I8" s="71">
        <f t="shared" si="14"/>
        <v>0.12365723083382904</v>
      </c>
      <c r="J8" s="54"/>
      <c r="K8" s="72">
        <f t="shared" ref="K8:M8" si="15">C8/C$5</f>
        <v>0.68420286691406529</v>
      </c>
      <c r="L8" s="70">
        <f t="shared" si="15"/>
        <v>0.58015023740344407</v>
      </c>
      <c r="M8" s="71">
        <f t="shared" si="15"/>
        <v>0.16068018550513777</v>
      </c>
      <c r="N8" s="54"/>
      <c r="O8" s="60"/>
      <c r="P8" s="68">
        <f t="shared" ref="P8:Q8" si="16">D8-C8</f>
        <v>-2433</v>
      </c>
      <c r="Q8" s="69">
        <f t="shared" si="16"/>
        <v>-12839</v>
      </c>
      <c r="R8" s="54"/>
      <c r="S8" s="60"/>
      <c r="T8" s="70">
        <f t="shared" ref="T8:U8" si="17">P8/C8</f>
        <v>-0.12937360416888227</v>
      </c>
      <c r="U8" s="71">
        <f t="shared" si="17"/>
        <v>-0.78415684358394921</v>
      </c>
      <c r="V8" s="54"/>
      <c r="W8" s="60"/>
      <c r="X8" s="70">
        <f t="shared" ref="X8:Y8" si="18">D8/C8</f>
        <v>0.87062639583111778</v>
      </c>
      <c r="Y8" s="71">
        <f t="shared" si="18"/>
        <v>0.21584315641605081</v>
      </c>
      <c r="Z8" s="2"/>
      <c r="AA8" s="2"/>
      <c r="AB8" s="2"/>
      <c r="AC8" s="2"/>
      <c r="AD8" s="2"/>
    </row>
    <row r="9" spans="1:30" x14ac:dyDescent="0.2">
      <c r="A9" s="1"/>
      <c r="B9" s="31" t="s">
        <v>45</v>
      </c>
      <c r="C9" s="32">
        <v>1022</v>
      </c>
      <c r="D9" s="32">
        <v>2197</v>
      </c>
      <c r="E9" s="32">
        <v>349</v>
      </c>
      <c r="F9" s="2"/>
      <c r="G9" s="72">
        <f t="shared" ref="G9:I9" si="19">C9/C$26</f>
        <v>2.8712704388380063E-2</v>
      </c>
      <c r="H9" s="70">
        <f t="shared" si="19"/>
        <v>6.1090565303228317E-2</v>
      </c>
      <c r="I9" s="71">
        <f t="shared" si="19"/>
        <v>1.2211763882571119E-2</v>
      </c>
      <c r="J9" s="54"/>
      <c r="K9" s="72">
        <f t="shared" ref="K9:M9" si="20">C9/C$5</f>
        <v>3.7182565669795532E-2</v>
      </c>
      <c r="L9" s="70">
        <f t="shared" si="20"/>
        <v>7.7847069661965848E-2</v>
      </c>
      <c r="M9" s="71">
        <f t="shared" si="20"/>
        <v>1.5867963990179139E-2</v>
      </c>
      <c r="N9" s="54"/>
      <c r="O9" s="60"/>
      <c r="P9" s="68">
        <f t="shared" ref="P9:Q9" si="21">D9-C9</f>
        <v>1175</v>
      </c>
      <c r="Q9" s="69">
        <f t="shared" si="21"/>
        <v>-1848</v>
      </c>
      <c r="R9" s="54"/>
      <c r="S9" s="60"/>
      <c r="T9" s="70">
        <f t="shared" ref="T9:U9" si="22">P9/C9</f>
        <v>1.149706457925636</v>
      </c>
      <c r="U9" s="71">
        <f t="shared" si="22"/>
        <v>-0.84114701866181152</v>
      </c>
      <c r="V9" s="54"/>
      <c r="W9" s="60"/>
      <c r="X9" s="70">
        <f t="shared" ref="X9:Y9" si="23">D9/C9</f>
        <v>2.1497064579256362</v>
      </c>
      <c r="Y9" s="71">
        <f t="shared" si="23"/>
        <v>0.15885298133818843</v>
      </c>
      <c r="Z9" s="2"/>
      <c r="AA9" s="2"/>
      <c r="AB9" s="2"/>
      <c r="AC9" s="2"/>
      <c r="AD9" s="2"/>
    </row>
    <row r="10" spans="1:30" x14ac:dyDescent="0.2">
      <c r="A10" s="1"/>
      <c r="B10" s="31" t="s">
        <v>46</v>
      </c>
      <c r="C10" s="32">
        <v>-20</v>
      </c>
      <c r="D10" s="32">
        <v>0</v>
      </c>
      <c r="E10" s="32">
        <v>-231</v>
      </c>
      <c r="F10" s="2"/>
      <c r="G10" s="72">
        <f t="shared" ref="G10:I10" si="24">C10/C$26</f>
        <v>-5.6189245378434564E-4</v>
      </c>
      <c r="H10" s="70">
        <f t="shared" si="24"/>
        <v>0</v>
      </c>
      <c r="I10" s="71">
        <f t="shared" si="24"/>
        <v>-8.0828580426187055E-3</v>
      </c>
      <c r="J10" s="54"/>
      <c r="K10" s="72">
        <f t="shared" ref="K10:M10" si="25">C10/C$5</f>
        <v>-7.2764316379247615E-4</v>
      </c>
      <c r="L10" s="70">
        <f t="shared" si="25"/>
        <v>0</v>
      </c>
      <c r="M10" s="71">
        <f t="shared" si="25"/>
        <v>-1.0502864417568428E-2</v>
      </c>
      <c r="N10" s="54"/>
      <c r="O10" s="60"/>
      <c r="P10" s="68">
        <f t="shared" ref="P10:Q10" si="26">D10-C10</f>
        <v>20</v>
      </c>
      <c r="Q10" s="69">
        <f t="shared" si="26"/>
        <v>-231</v>
      </c>
      <c r="R10" s="54"/>
      <c r="S10" s="60"/>
      <c r="T10" s="70">
        <f t="shared" ref="T10:T11" si="27">P10/C10</f>
        <v>-1</v>
      </c>
      <c r="U10" s="71"/>
      <c r="V10" s="54"/>
      <c r="W10" s="60"/>
      <c r="X10" s="70">
        <f t="shared" ref="X10:X11" si="28">D10/C10</f>
        <v>0</v>
      </c>
      <c r="Y10" s="71"/>
      <c r="Z10" s="2"/>
      <c r="AA10" s="2"/>
      <c r="AB10" s="2"/>
      <c r="AC10" s="2"/>
      <c r="AD10" s="2"/>
    </row>
    <row r="11" spans="1:30" x14ac:dyDescent="0.2">
      <c r="A11" s="1"/>
      <c r="B11" s="31" t="s">
        <v>47</v>
      </c>
      <c r="C11" s="32">
        <v>-442</v>
      </c>
      <c r="D11" s="32">
        <v>1994</v>
      </c>
      <c r="E11" s="32">
        <v>12611</v>
      </c>
      <c r="F11" s="2"/>
      <c r="G11" s="72">
        <f t="shared" ref="G11:I11" si="29">C11/C$26</f>
        <v>-1.241782322863404E-2</v>
      </c>
      <c r="H11" s="70">
        <f t="shared" si="29"/>
        <v>5.5445874927008316E-2</v>
      </c>
      <c r="I11" s="71">
        <f t="shared" si="29"/>
        <v>0.44126806396304979</v>
      </c>
      <c r="J11" s="54"/>
      <c r="K11" s="72">
        <f t="shared" ref="K11:M11" si="30">C11/C$5</f>
        <v>-1.6080913919813724E-2</v>
      </c>
      <c r="L11" s="70">
        <f t="shared" si="30"/>
        <v>7.0654099638579826E-2</v>
      </c>
      <c r="M11" s="71">
        <f t="shared" si="30"/>
        <v>0.57338365008638714</v>
      </c>
      <c r="N11" s="54"/>
      <c r="O11" s="60"/>
      <c r="P11" s="68">
        <f t="shared" ref="P11:Q11" si="31">D11-C11</f>
        <v>2436</v>
      </c>
      <c r="Q11" s="69">
        <f t="shared" si="31"/>
        <v>10617</v>
      </c>
      <c r="R11" s="54"/>
      <c r="S11" s="60"/>
      <c r="T11" s="70">
        <f t="shared" si="27"/>
        <v>-5.5113122171945701</v>
      </c>
      <c r="U11" s="71">
        <f>Q11/D11</f>
        <v>5.324473420260782</v>
      </c>
      <c r="V11" s="54"/>
      <c r="W11" s="60"/>
      <c r="X11" s="70">
        <f t="shared" si="28"/>
        <v>-4.5113122171945701</v>
      </c>
      <c r="Y11" s="71">
        <f>E11/D11</f>
        <v>6.324473420260782</v>
      </c>
      <c r="Z11" s="2"/>
      <c r="AA11" s="2"/>
      <c r="AB11" s="2"/>
      <c r="AC11" s="2"/>
      <c r="AD11" s="2"/>
    </row>
    <row r="12" spans="1:30" x14ac:dyDescent="0.2">
      <c r="A12" s="1"/>
      <c r="B12" s="31" t="s">
        <v>48</v>
      </c>
      <c r="C12" s="32">
        <v>0</v>
      </c>
      <c r="D12" s="32">
        <v>0</v>
      </c>
      <c r="E12" s="32">
        <v>-4635</v>
      </c>
      <c r="F12" s="2"/>
      <c r="G12" s="72">
        <f t="shared" ref="G12:I12" si="32">C12/C$26</f>
        <v>0</v>
      </c>
      <c r="H12" s="70">
        <f t="shared" si="32"/>
        <v>0</v>
      </c>
      <c r="I12" s="71">
        <f t="shared" si="32"/>
        <v>-0.16218202176423246</v>
      </c>
      <c r="J12" s="54"/>
      <c r="K12" s="72">
        <f t="shared" ref="K12:M12" si="33">C12/C$5</f>
        <v>0</v>
      </c>
      <c r="L12" s="70">
        <f t="shared" si="33"/>
        <v>0</v>
      </c>
      <c r="M12" s="71">
        <f t="shared" si="33"/>
        <v>-0.21073929253432755</v>
      </c>
      <c r="N12" s="54"/>
      <c r="O12" s="60"/>
      <c r="P12" s="68">
        <f t="shared" ref="P12:Q12" si="34">D12-C12</f>
        <v>0</v>
      </c>
      <c r="Q12" s="69">
        <f t="shared" si="34"/>
        <v>-4635</v>
      </c>
      <c r="R12" s="54"/>
      <c r="S12" s="60"/>
      <c r="T12" s="70"/>
      <c r="U12" s="71"/>
      <c r="V12" s="54"/>
      <c r="W12" s="60"/>
      <c r="X12" s="70"/>
      <c r="Y12" s="71"/>
      <c r="Z12" s="2"/>
      <c r="AA12" s="2"/>
      <c r="AB12" s="2"/>
      <c r="AC12" s="2"/>
      <c r="AD12" s="2"/>
    </row>
    <row r="13" spans="1:30" ht="15.75" customHeight="1" x14ac:dyDescent="0.25">
      <c r="A13" s="1"/>
      <c r="B13" s="20" t="s">
        <v>49</v>
      </c>
      <c r="C13" s="21">
        <v>8108</v>
      </c>
      <c r="D13" s="21">
        <v>7741</v>
      </c>
      <c r="E13" s="21">
        <v>6585</v>
      </c>
      <c r="F13" s="2"/>
      <c r="G13" s="65">
        <f t="shared" ref="G13:I13" si="35">C13/C$26</f>
        <v>0.22779120076417372</v>
      </c>
      <c r="H13" s="66">
        <f t="shared" si="35"/>
        <v>0.21524900592275395</v>
      </c>
      <c r="I13" s="67">
        <f t="shared" si="35"/>
        <v>0.23041394030581897</v>
      </c>
      <c r="J13" s="54"/>
      <c r="K13" s="72"/>
      <c r="L13" s="70"/>
      <c r="M13" s="71"/>
      <c r="N13" s="54"/>
      <c r="O13" s="60"/>
      <c r="P13" s="68">
        <f t="shared" ref="P13:Q13" si="36">D13-C13</f>
        <v>-367</v>
      </c>
      <c r="Q13" s="69">
        <f t="shared" si="36"/>
        <v>-1156</v>
      </c>
      <c r="R13" s="54"/>
      <c r="S13" s="60"/>
      <c r="T13" s="70">
        <f t="shared" ref="T13:U13" si="37">P13/C13</f>
        <v>-4.5263936852491367E-2</v>
      </c>
      <c r="U13" s="71">
        <f t="shared" si="37"/>
        <v>-0.14933471127761272</v>
      </c>
      <c r="V13" s="54"/>
      <c r="W13" s="60"/>
      <c r="X13" s="70">
        <f t="shared" ref="X13:Y13" si="38">D13/C13</f>
        <v>0.95473606314750858</v>
      </c>
      <c r="Y13" s="71">
        <f t="shared" si="38"/>
        <v>0.85066528872238734</v>
      </c>
      <c r="Z13" s="2"/>
      <c r="AA13" s="2"/>
      <c r="AB13" s="2"/>
      <c r="AC13" s="2"/>
      <c r="AD13" s="2"/>
    </row>
    <row r="14" spans="1:30" ht="15.75" customHeight="1" x14ac:dyDescent="0.25">
      <c r="A14" s="1"/>
      <c r="B14" s="20" t="s">
        <v>50</v>
      </c>
      <c r="C14" s="21">
        <v>4219</v>
      </c>
      <c r="D14" s="21">
        <v>1341</v>
      </c>
      <c r="E14" s="21">
        <v>3866</v>
      </c>
      <c r="F14" s="2"/>
      <c r="G14" s="65">
        <f t="shared" ref="G14:I14" si="39">C14/C$26</f>
        <v>0.11853121312580772</v>
      </c>
      <c r="H14" s="66">
        <f t="shared" si="39"/>
        <v>3.7288324110891752E-2</v>
      </c>
      <c r="I14" s="67">
        <f t="shared" si="39"/>
        <v>0.13527415234962734</v>
      </c>
      <c r="J14" s="54"/>
      <c r="K14" s="72"/>
      <c r="L14" s="70"/>
      <c r="M14" s="71"/>
      <c r="N14" s="54"/>
      <c r="O14" s="60"/>
      <c r="P14" s="68">
        <f t="shared" ref="P14:Q14" si="40">D14-C14</f>
        <v>-2878</v>
      </c>
      <c r="Q14" s="69">
        <f t="shared" si="40"/>
        <v>2525</v>
      </c>
      <c r="R14" s="54"/>
      <c r="S14" s="60"/>
      <c r="T14" s="70">
        <f t="shared" ref="T14:U14" si="41">P14/C14</f>
        <v>-0.68215216876036977</v>
      </c>
      <c r="U14" s="71">
        <f t="shared" si="41"/>
        <v>1.8829231916480238</v>
      </c>
      <c r="V14" s="54"/>
      <c r="W14" s="60"/>
      <c r="X14" s="70">
        <f t="shared" ref="X14:Y14" si="42">D14/C14</f>
        <v>0.31784783123963023</v>
      </c>
      <c r="Y14" s="71">
        <f t="shared" si="42"/>
        <v>2.882923191648024</v>
      </c>
      <c r="Z14" s="2"/>
      <c r="AA14" s="2"/>
      <c r="AB14" s="2"/>
      <c r="AC14" s="2"/>
      <c r="AD14" s="2"/>
    </row>
    <row r="15" spans="1:30" x14ac:dyDescent="0.2">
      <c r="A15" s="1"/>
      <c r="B15" s="31" t="s">
        <v>51</v>
      </c>
      <c r="C15" s="32">
        <v>1399</v>
      </c>
      <c r="D15" s="32">
        <v>1098</v>
      </c>
      <c r="E15" s="32">
        <v>1335</v>
      </c>
      <c r="F15" s="2"/>
      <c r="G15" s="72">
        <f t="shared" ref="G15:I15" si="43">C15/C$26</f>
        <v>3.9304377142214977E-2</v>
      </c>
      <c r="H15" s="70">
        <f t="shared" si="43"/>
        <v>3.0531379473347608E-2</v>
      </c>
      <c r="I15" s="71">
        <f t="shared" si="43"/>
        <v>4.6712621155393819E-2</v>
      </c>
      <c r="J15" s="54"/>
      <c r="K15" s="72">
        <f t="shared" ref="K15:M15" si="44">C15/C$14</f>
        <v>0.33159516473097889</v>
      </c>
      <c r="L15" s="70">
        <f t="shared" si="44"/>
        <v>0.81879194630872487</v>
      </c>
      <c r="M15" s="71">
        <f t="shared" si="44"/>
        <v>0.34531815830315571</v>
      </c>
      <c r="N15" s="54"/>
      <c r="O15" s="60"/>
      <c r="P15" s="68">
        <f t="shared" ref="P15:Q15" si="45">D15-C15</f>
        <v>-301</v>
      </c>
      <c r="Q15" s="69">
        <f t="shared" si="45"/>
        <v>237</v>
      </c>
      <c r="R15" s="54"/>
      <c r="S15" s="60"/>
      <c r="T15" s="70">
        <f t="shared" ref="T15:U15" si="46">P15/C15</f>
        <v>-0.21515368120085776</v>
      </c>
      <c r="U15" s="71">
        <f t="shared" si="46"/>
        <v>0.21584699453551912</v>
      </c>
      <c r="V15" s="54"/>
      <c r="W15" s="60"/>
      <c r="X15" s="70">
        <f t="shared" ref="X15:Y15" si="47">D15/C15</f>
        <v>0.78484631879914224</v>
      </c>
      <c r="Y15" s="71">
        <f t="shared" si="47"/>
        <v>1.215846994535519</v>
      </c>
      <c r="Z15" s="2"/>
      <c r="AA15" s="2"/>
      <c r="AB15" s="2"/>
      <c r="AC15" s="2"/>
      <c r="AD15" s="2"/>
    </row>
    <row r="16" spans="1:30" x14ac:dyDescent="0.2">
      <c r="A16" s="1"/>
      <c r="B16" s="31" t="s">
        <v>52</v>
      </c>
      <c r="C16" s="32">
        <v>2820</v>
      </c>
      <c r="D16" s="32">
        <v>243</v>
      </c>
      <c r="E16" s="32">
        <v>2531</v>
      </c>
      <c r="F16" s="2"/>
      <c r="G16" s="72">
        <f t="shared" ref="G16:I16" si="48">C16/C$26</f>
        <v>7.9226835983592744E-2</v>
      </c>
      <c r="H16" s="70">
        <f t="shared" si="48"/>
        <v>6.7569446375441424E-3</v>
      </c>
      <c r="I16" s="71">
        <f t="shared" si="48"/>
        <v>8.8561531194233531E-2</v>
      </c>
      <c r="J16" s="54"/>
      <c r="K16" s="72">
        <f t="shared" ref="K16:M16" si="49">C16/C$14</f>
        <v>0.66840483526902106</v>
      </c>
      <c r="L16" s="70">
        <f t="shared" si="49"/>
        <v>0.18120805369127516</v>
      </c>
      <c r="M16" s="71">
        <f t="shared" si="49"/>
        <v>0.65468184169684429</v>
      </c>
      <c r="N16" s="54"/>
      <c r="O16" s="60"/>
      <c r="P16" s="68">
        <f t="shared" ref="P16:Q16" si="50">D16-C16</f>
        <v>-2577</v>
      </c>
      <c r="Q16" s="69">
        <f t="shared" si="50"/>
        <v>2288</v>
      </c>
      <c r="R16" s="54"/>
      <c r="S16" s="60"/>
      <c r="T16" s="70">
        <f t="shared" ref="T16:U16" si="51">P16/C16</f>
        <v>-0.91382978723404251</v>
      </c>
      <c r="U16" s="71">
        <f t="shared" si="51"/>
        <v>9.4156378600823043</v>
      </c>
      <c r="V16" s="54"/>
      <c r="W16" s="60"/>
      <c r="X16" s="70">
        <f t="shared" ref="X16:Y16" si="52">D16/C16</f>
        <v>8.6170212765957446E-2</v>
      </c>
      <c r="Y16" s="71">
        <f t="shared" si="52"/>
        <v>10.415637860082304</v>
      </c>
      <c r="Z16" s="2"/>
      <c r="AA16" s="2"/>
      <c r="AB16" s="2"/>
      <c r="AC16" s="2"/>
      <c r="AD16" s="2"/>
    </row>
    <row r="17" spans="1:30" ht="15.75" customHeight="1" x14ac:dyDescent="0.25">
      <c r="A17" s="1"/>
      <c r="B17" s="20" t="s">
        <v>53</v>
      </c>
      <c r="C17" s="21">
        <v>3889</v>
      </c>
      <c r="D17" s="21">
        <v>6400</v>
      </c>
      <c r="E17" s="21">
        <v>2719</v>
      </c>
      <c r="F17" s="2"/>
      <c r="G17" s="65">
        <f t="shared" ref="G17:I17" si="53">C17/C$26</f>
        <v>0.10925998763836602</v>
      </c>
      <c r="H17" s="66">
        <f t="shared" si="53"/>
        <v>0.1779606818118622</v>
      </c>
      <c r="I17" s="67">
        <f t="shared" si="53"/>
        <v>9.5139787956191615E-2</v>
      </c>
      <c r="J17" s="54"/>
      <c r="K17" s="72"/>
      <c r="L17" s="70"/>
      <c r="M17" s="71"/>
      <c r="N17" s="54"/>
      <c r="O17" s="60"/>
      <c r="P17" s="68">
        <f t="shared" ref="P17:Q17" si="54">D17-C17</f>
        <v>2511</v>
      </c>
      <c r="Q17" s="69">
        <f t="shared" si="54"/>
        <v>-3681</v>
      </c>
      <c r="R17" s="54"/>
      <c r="S17" s="60"/>
      <c r="T17" s="70">
        <f t="shared" ref="T17:U17" si="55">P17/C17</f>
        <v>0.64566726664952434</v>
      </c>
      <c r="U17" s="71">
        <f t="shared" si="55"/>
        <v>-0.57515625000000004</v>
      </c>
      <c r="V17" s="54"/>
      <c r="W17" s="60"/>
      <c r="X17" s="70">
        <f t="shared" ref="X17:Y17" si="56">D17/C17</f>
        <v>1.6456672666495242</v>
      </c>
      <c r="Y17" s="71">
        <f t="shared" si="56"/>
        <v>0.42484375000000002</v>
      </c>
      <c r="Z17" s="2"/>
      <c r="AA17" s="2"/>
      <c r="AB17" s="2"/>
      <c r="AC17" s="2"/>
      <c r="AD17" s="2"/>
    </row>
    <row r="18" spans="1:30" x14ac:dyDescent="0.2">
      <c r="A18" s="1"/>
      <c r="B18" s="31" t="s">
        <v>54</v>
      </c>
      <c r="C18" s="32">
        <v>420</v>
      </c>
      <c r="D18" s="32">
        <v>522</v>
      </c>
      <c r="E18" s="32">
        <v>530</v>
      </c>
      <c r="F18" s="2"/>
      <c r="G18" s="72">
        <f t="shared" ref="G18:I18" si="57">C18/C$26</f>
        <v>1.1799741529471259E-2</v>
      </c>
      <c r="H18" s="70">
        <f t="shared" si="57"/>
        <v>1.4514918110280011E-2</v>
      </c>
      <c r="I18" s="71">
        <f t="shared" si="57"/>
        <v>1.8545085552328634E-2</v>
      </c>
      <c r="J18" s="54"/>
      <c r="K18" s="72">
        <f t="shared" ref="K18:M18" si="58">C18/C$17</f>
        <v>0.10799691437387503</v>
      </c>
      <c r="L18" s="70">
        <f t="shared" si="58"/>
        <v>8.1562499999999996E-2</v>
      </c>
      <c r="M18" s="71">
        <f t="shared" si="58"/>
        <v>0.19492460463405664</v>
      </c>
      <c r="N18" s="54"/>
      <c r="O18" s="60"/>
      <c r="P18" s="68">
        <f t="shared" ref="P18:Q18" si="59">D18-C18</f>
        <v>102</v>
      </c>
      <c r="Q18" s="69">
        <f t="shared" si="59"/>
        <v>8</v>
      </c>
      <c r="R18" s="54"/>
      <c r="S18" s="60"/>
      <c r="T18" s="70">
        <f t="shared" ref="T18:U18" si="60">P18/C18</f>
        <v>0.24285714285714285</v>
      </c>
      <c r="U18" s="71">
        <f t="shared" si="60"/>
        <v>1.532567049808429E-2</v>
      </c>
      <c r="V18" s="54"/>
      <c r="W18" s="60"/>
      <c r="X18" s="70">
        <f t="shared" ref="X18:Y18" si="61">D18/C18</f>
        <v>1.2428571428571429</v>
      </c>
      <c r="Y18" s="71">
        <f t="shared" si="61"/>
        <v>1.0153256704980842</v>
      </c>
      <c r="Z18" s="2"/>
      <c r="AA18" s="2"/>
      <c r="AB18" s="2"/>
      <c r="AC18" s="2"/>
      <c r="AD18" s="2"/>
    </row>
    <row r="19" spans="1:30" x14ac:dyDescent="0.2">
      <c r="A19" s="1"/>
      <c r="B19" s="31" t="s">
        <v>55</v>
      </c>
      <c r="C19" s="32">
        <v>199</v>
      </c>
      <c r="D19" s="32">
        <v>263</v>
      </c>
      <c r="E19" s="32">
        <v>178</v>
      </c>
      <c r="F19" s="2"/>
      <c r="G19" s="72">
        <f t="shared" ref="G19:I19" si="62">C19/C$26</f>
        <v>5.5908299151542391E-3</v>
      </c>
      <c r="H19" s="70">
        <f t="shared" si="62"/>
        <v>7.3130717682062122E-3</v>
      </c>
      <c r="I19" s="71">
        <f t="shared" si="62"/>
        <v>6.2283494873858428E-3</v>
      </c>
      <c r="J19" s="54"/>
      <c r="K19" s="72">
        <f t="shared" ref="K19:M19" si="63">C19/C$17</f>
        <v>5.1169966572383645E-2</v>
      </c>
      <c r="L19" s="70">
        <f t="shared" si="63"/>
        <v>4.1093749999999998E-2</v>
      </c>
      <c r="M19" s="71">
        <f t="shared" si="63"/>
        <v>6.5465244575211481E-2</v>
      </c>
      <c r="N19" s="54"/>
      <c r="O19" s="60"/>
      <c r="P19" s="68">
        <f t="shared" ref="P19:Q19" si="64">D19-C19</f>
        <v>64</v>
      </c>
      <c r="Q19" s="69">
        <f t="shared" si="64"/>
        <v>-85</v>
      </c>
      <c r="R19" s="54"/>
      <c r="S19" s="60"/>
      <c r="T19" s="70">
        <f t="shared" ref="T19:U19" si="65">P19/C19</f>
        <v>0.32160804020100503</v>
      </c>
      <c r="U19" s="71">
        <f t="shared" si="65"/>
        <v>-0.32319391634980987</v>
      </c>
      <c r="V19" s="54"/>
      <c r="W19" s="60"/>
      <c r="X19" s="70">
        <f t="shared" ref="X19:Y19" si="66">D19/C19</f>
        <v>1.3216080402010051</v>
      </c>
      <c r="Y19" s="71">
        <f t="shared" si="66"/>
        <v>0.67680608365019013</v>
      </c>
      <c r="Z19" s="2"/>
      <c r="AA19" s="2"/>
      <c r="AB19" s="2"/>
      <c r="AC19" s="2"/>
      <c r="AD19" s="2"/>
    </row>
    <row r="20" spans="1:30" x14ac:dyDescent="0.2">
      <c r="A20" s="1"/>
      <c r="B20" s="31" t="s">
        <v>56</v>
      </c>
      <c r="C20" s="32">
        <v>0</v>
      </c>
      <c r="D20" s="32">
        <v>2165</v>
      </c>
      <c r="E20" s="32">
        <v>0</v>
      </c>
      <c r="F20" s="2"/>
      <c r="G20" s="72">
        <f t="shared" ref="G20:I20" si="67">C20/C$26</f>
        <v>0</v>
      </c>
      <c r="H20" s="70">
        <f t="shared" si="67"/>
        <v>6.0200761894169008E-2</v>
      </c>
      <c r="I20" s="71">
        <f t="shared" si="67"/>
        <v>0</v>
      </c>
      <c r="J20" s="54"/>
      <c r="K20" s="72">
        <f t="shared" ref="K20:M20" si="68">C20/C$17</f>
        <v>0</v>
      </c>
      <c r="L20" s="70">
        <f t="shared" si="68"/>
        <v>0.33828124999999998</v>
      </c>
      <c r="M20" s="71">
        <f t="shared" si="68"/>
        <v>0</v>
      </c>
      <c r="N20" s="54"/>
      <c r="O20" s="60"/>
      <c r="P20" s="68">
        <f t="shared" ref="P20:Q20" si="69">D20-C20</f>
        <v>2165</v>
      </c>
      <c r="Q20" s="69">
        <f t="shared" si="69"/>
        <v>-2165</v>
      </c>
      <c r="R20" s="54"/>
      <c r="S20" s="60"/>
      <c r="T20" s="70"/>
      <c r="U20" s="71">
        <f>Q20/D20</f>
        <v>-1</v>
      </c>
      <c r="V20" s="54"/>
      <c r="W20" s="60"/>
      <c r="X20" s="70"/>
      <c r="Y20" s="71">
        <f>E20/D20</f>
        <v>0</v>
      </c>
      <c r="Z20" s="2"/>
      <c r="AA20" s="2"/>
      <c r="AB20" s="2"/>
      <c r="AC20" s="2"/>
      <c r="AD20" s="2"/>
    </row>
    <row r="21" spans="1:30" x14ac:dyDescent="0.2">
      <c r="A21" s="1"/>
      <c r="B21" s="31" t="s">
        <v>57</v>
      </c>
      <c r="C21" s="32">
        <v>2557</v>
      </c>
      <c r="D21" s="32">
        <v>2725</v>
      </c>
      <c r="E21" s="32">
        <v>968</v>
      </c>
      <c r="F21" s="2"/>
      <c r="G21" s="72">
        <f t="shared" ref="G21:I21" si="70">C21/C$26</f>
        <v>7.1837950216328592E-2</v>
      </c>
      <c r="H21" s="70">
        <f t="shared" si="70"/>
        <v>7.5772321552706953E-2</v>
      </c>
      <c r="I21" s="71">
        <f t="shared" si="70"/>
        <v>3.3871024178592675E-2</v>
      </c>
      <c r="J21" s="54"/>
      <c r="K21" s="72">
        <f t="shared" ref="K21:M21" si="71">C21/C$17</f>
        <v>0.65749550012856772</v>
      </c>
      <c r="L21" s="70">
        <f t="shared" si="71"/>
        <v>0.42578125</v>
      </c>
      <c r="M21" s="71">
        <f t="shared" si="71"/>
        <v>0.35601324016182417</v>
      </c>
      <c r="N21" s="54"/>
      <c r="O21" s="60"/>
      <c r="P21" s="68">
        <f t="shared" ref="P21:Q21" si="72">D21-C21</f>
        <v>168</v>
      </c>
      <c r="Q21" s="69">
        <f t="shared" si="72"/>
        <v>-1757</v>
      </c>
      <c r="R21" s="54"/>
      <c r="S21" s="60"/>
      <c r="T21" s="70">
        <f t="shared" ref="T21:U21" si="73">P21/C21</f>
        <v>6.5701994524833787E-2</v>
      </c>
      <c r="U21" s="71">
        <f t="shared" si="73"/>
        <v>-0.64477064220183489</v>
      </c>
      <c r="V21" s="54"/>
      <c r="W21" s="60"/>
      <c r="X21" s="70">
        <f t="shared" ref="X21:Y21" si="74">D21/C21</f>
        <v>1.0657019945248338</v>
      </c>
      <c r="Y21" s="71">
        <f t="shared" si="74"/>
        <v>0.35522935779816511</v>
      </c>
      <c r="Z21" s="2"/>
      <c r="AA21" s="2"/>
      <c r="AB21" s="2"/>
      <c r="AC21" s="2"/>
      <c r="AD21" s="2"/>
    </row>
    <row r="22" spans="1:30" x14ac:dyDescent="0.2">
      <c r="A22" s="1"/>
      <c r="B22" s="31" t="s">
        <v>58</v>
      </c>
      <c r="C22" s="32">
        <v>191</v>
      </c>
      <c r="D22" s="32">
        <v>188</v>
      </c>
      <c r="E22" s="32">
        <v>252</v>
      </c>
      <c r="F22" s="2"/>
      <c r="G22" s="72">
        <f t="shared" ref="G22:I22" si="75">C22/C$26</f>
        <v>5.3660729336405012E-3</v>
      </c>
      <c r="H22" s="70">
        <f t="shared" si="75"/>
        <v>5.227595028223452E-3</v>
      </c>
      <c r="I22" s="71">
        <f t="shared" si="75"/>
        <v>8.8176633192204069E-3</v>
      </c>
      <c r="J22" s="54"/>
      <c r="K22" s="72">
        <f t="shared" ref="K22:M22" si="76">C22/C$17</f>
        <v>4.9112882489071738E-2</v>
      </c>
      <c r="L22" s="70">
        <f t="shared" si="76"/>
        <v>2.9374999999999998E-2</v>
      </c>
      <c r="M22" s="71">
        <f t="shared" si="76"/>
        <v>9.2681132769400515E-2</v>
      </c>
      <c r="N22" s="54"/>
      <c r="O22" s="60"/>
      <c r="P22" s="68">
        <f t="shared" ref="P22:Q22" si="77">D22-C22</f>
        <v>-3</v>
      </c>
      <c r="Q22" s="69">
        <f t="shared" si="77"/>
        <v>64</v>
      </c>
      <c r="R22" s="54"/>
      <c r="S22" s="60"/>
      <c r="T22" s="70">
        <f t="shared" ref="T22:U22" si="78">P22/C22</f>
        <v>-1.5706806282722512E-2</v>
      </c>
      <c r="U22" s="71">
        <f t="shared" si="78"/>
        <v>0.34042553191489361</v>
      </c>
      <c r="V22" s="54"/>
      <c r="W22" s="60"/>
      <c r="X22" s="70">
        <f t="shared" ref="X22:Y22" si="79">D22/C22</f>
        <v>0.98429319371727753</v>
      </c>
      <c r="Y22" s="71">
        <f t="shared" si="79"/>
        <v>1.3404255319148937</v>
      </c>
      <c r="Z22" s="2"/>
      <c r="AA22" s="2"/>
      <c r="AB22" s="2"/>
      <c r="AC22" s="2"/>
      <c r="AD22" s="2"/>
    </row>
    <row r="23" spans="1:30" x14ac:dyDescent="0.2">
      <c r="A23" s="1"/>
      <c r="B23" s="31" t="s">
        <v>59</v>
      </c>
      <c r="C23" s="32">
        <v>191</v>
      </c>
      <c r="D23" s="32">
        <v>513</v>
      </c>
      <c r="E23" s="32">
        <v>767</v>
      </c>
      <c r="F23" s="2"/>
      <c r="G23" s="72">
        <f t="shared" ref="G23:I23" si="80">C23/C$26</f>
        <v>5.3660729336405012E-3</v>
      </c>
      <c r="H23" s="70">
        <f t="shared" si="80"/>
        <v>1.4264660901482078E-2</v>
      </c>
      <c r="I23" s="71">
        <f t="shared" si="80"/>
        <v>2.6837887959690682E-2</v>
      </c>
      <c r="J23" s="54"/>
      <c r="K23" s="72">
        <f t="shared" ref="K23:M23" si="81">C23/C$17</f>
        <v>4.9112882489071738E-2</v>
      </c>
      <c r="L23" s="70">
        <f t="shared" si="81"/>
        <v>8.0156249999999998E-2</v>
      </c>
      <c r="M23" s="71">
        <f t="shared" si="81"/>
        <v>0.28208900331004044</v>
      </c>
      <c r="N23" s="54"/>
      <c r="O23" s="60"/>
      <c r="P23" s="68">
        <f t="shared" ref="P23:Q23" si="82">D23-C23</f>
        <v>322</v>
      </c>
      <c r="Q23" s="69">
        <f t="shared" si="82"/>
        <v>254</v>
      </c>
      <c r="R23" s="54"/>
      <c r="S23" s="60"/>
      <c r="T23" s="70">
        <f t="shared" ref="T23:U23" si="83">P23/C23</f>
        <v>1.6858638743455496</v>
      </c>
      <c r="U23" s="71">
        <f t="shared" si="83"/>
        <v>0.49512670565302142</v>
      </c>
      <c r="V23" s="54"/>
      <c r="W23" s="60"/>
      <c r="X23" s="70">
        <f t="shared" ref="X23:Y23" si="84">D23/C23</f>
        <v>2.6858638743455496</v>
      </c>
      <c r="Y23" s="71">
        <f t="shared" si="84"/>
        <v>1.4951267056530215</v>
      </c>
      <c r="Z23" s="2"/>
      <c r="AA23" s="2"/>
      <c r="AB23" s="2"/>
      <c r="AC23" s="2"/>
      <c r="AD23" s="2"/>
    </row>
    <row r="24" spans="1:30" x14ac:dyDescent="0.2">
      <c r="A24" s="1"/>
      <c r="B24" s="31" t="s">
        <v>60</v>
      </c>
      <c r="C24" s="32">
        <v>25</v>
      </c>
      <c r="D24" s="32">
        <v>24</v>
      </c>
      <c r="E24" s="32">
        <v>24</v>
      </c>
      <c r="F24" s="2"/>
      <c r="G24" s="73">
        <f t="shared" ref="G24:I24" si="85">C24/C$26</f>
        <v>7.0236556723043205E-4</v>
      </c>
      <c r="H24" s="74">
        <f t="shared" si="85"/>
        <v>6.673525567944832E-4</v>
      </c>
      <c r="I24" s="75">
        <f t="shared" si="85"/>
        <v>8.3977745897337211E-4</v>
      </c>
      <c r="J24" s="54"/>
      <c r="K24" s="73">
        <f t="shared" ref="K24:M24" si="86">C24/C$17</f>
        <v>6.428387760349704E-3</v>
      </c>
      <c r="L24" s="74">
        <f t="shared" si="86"/>
        <v>3.7499999999999999E-3</v>
      </c>
      <c r="M24" s="75">
        <f t="shared" si="86"/>
        <v>8.826774549466716E-3</v>
      </c>
      <c r="N24" s="54"/>
      <c r="O24" s="76"/>
      <c r="P24" s="77">
        <f t="shared" ref="P24:Q24" si="87">D24-C24</f>
        <v>-1</v>
      </c>
      <c r="Q24" s="78">
        <f t="shared" si="87"/>
        <v>0</v>
      </c>
      <c r="R24" s="54"/>
      <c r="S24" s="76"/>
      <c r="T24" s="74">
        <f t="shared" ref="T24:U24" si="88">P24/C24</f>
        <v>-0.04</v>
      </c>
      <c r="U24" s="75">
        <f t="shared" si="88"/>
        <v>0</v>
      </c>
      <c r="V24" s="54"/>
      <c r="W24" s="76"/>
      <c r="X24" s="74">
        <f t="shared" ref="X24:Y24" si="89">D24/C24</f>
        <v>0.96</v>
      </c>
      <c r="Y24" s="75">
        <f t="shared" si="89"/>
        <v>1</v>
      </c>
      <c r="Z24" s="2"/>
      <c r="AA24" s="2"/>
      <c r="AB24" s="2"/>
      <c r="AC24" s="2"/>
      <c r="AD24" s="2"/>
    </row>
    <row r="25" spans="1:30" x14ac:dyDescent="0.2">
      <c r="A25" s="1"/>
      <c r="B25" s="31"/>
      <c r="C25" s="32"/>
      <c r="D25" s="32"/>
      <c r="E25" s="3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 x14ac:dyDescent="0.25">
      <c r="A26" s="1"/>
      <c r="B26" s="41" t="s">
        <v>61</v>
      </c>
      <c r="C26" s="79">
        <v>35594</v>
      </c>
      <c r="D26" s="79">
        <v>35963</v>
      </c>
      <c r="E26" s="79">
        <v>28579</v>
      </c>
      <c r="F26" s="2"/>
      <c r="G26" s="2" t="s">
        <v>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1"/>
      <c r="B27" s="1"/>
      <c r="C27" s="80"/>
      <c r="D27" s="80"/>
      <c r="E27" s="8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 x14ac:dyDescent="0.25">
      <c r="A28" s="1"/>
      <c r="B28" s="44"/>
      <c r="C28" s="80"/>
      <c r="D28" s="80"/>
      <c r="E28" s="8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 x14ac:dyDescent="0.25">
      <c r="A29" s="2"/>
      <c r="B29" s="12"/>
      <c r="C29" s="81">
        <v>2020</v>
      </c>
      <c r="D29" s="81">
        <v>2021</v>
      </c>
      <c r="E29" s="81">
        <v>2022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12" t="s">
        <v>63</v>
      </c>
      <c r="C30" s="82"/>
      <c r="D30" s="82">
        <f t="shared" ref="D30:E30" si="90">D26/C26</f>
        <v>1.0103669157723212</v>
      </c>
      <c r="E30" s="82">
        <f t="shared" si="90"/>
        <v>0.79467786335956403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12" t="s">
        <v>64</v>
      </c>
      <c r="C31" s="82">
        <f t="shared" ref="C31:E31" si="91">C5/C26</f>
        <v>0.7722087992358263</v>
      </c>
      <c r="D31" s="82">
        <f t="shared" si="91"/>
        <v>0.78475099407724602</v>
      </c>
      <c r="E31" s="82">
        <f t="shared" si="91"/>
        <v>0.76958605969418103</v>
      </c>
      <c r="F31" s="2"/>
      <c r="G31" s="2" t="s">
        <v>65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12" t="s">
        <v>66</v>
      </c>
      <c r="C32" s="82">
        <f t="shared" ref="C32:E32" si="92">C13/C26</f>
        <v>0.22779120076417372</v>
      </c>
      <c r="D32" s="82">
        <f t="shared" si="92"/>
        <v>0.21524900592275395</v>
      </c>
      <c r="E32" s="82">
        <f t="shared" si="92"/>
        <v>0.23041394030581897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12" t="s">
        <v>67</v>
      </c>
      <c r="C33" s="82">
        <f t="shared" ref="C33:E33" si="93">(C5+C14)/C26</f>
        <v>0.89074001236163403</v>
      </c>
      <c r="D33" s="82">
        <f t="shared" si="93"/>
        <v>0.8220393181881378</v>
      </c>
      <c r="E33" s="82">
        <f t="shared" si="93"/>
        <v>0.9048602120438084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12"/>
      <c r="C34" s="83"/>
      <c r="D34" s="83"/>
      <c r="E34" s="8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12" t="s">
        <v>68</v>
      </c>
      <c r="C35" s="82">
        <f t="shared" ref="C35:E35" si="94">C14/C26</f>
        <v>0.11853121312580772</v>
      </c>
      <c r="D35" s="82">
        <f t="shared" si="94"/>
        <v>3.7288324110891752E-2</v>
      </c>
      <c r="E35" s="82">
        <f t="shared" si="94"/>
        <v>0.13527415234962734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12" t="s">
        <v>69</v>
      </c>
      <c r="C36" s="82">
        <f t="shared" ref="C36:E36" si="95">C17/C26</f>
        <v>0.10925998763836602</v>
      </c>
      <c r="D36" s="82">
        <f t="shared" si="95"/>
        <v>0.1779606818118622</v>
      </c>
      <c r="E36" s="82">
        <f t="shared" si="95"/>
        <v>9.5139787956191615E-2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M1000"/>
  <sheetViews>
    <sheetView topLeftCell="A7" zoomScale="70" zoomScaleNormal="70" workbookViewId="0">
      <selection activeCell="L15" sqref="L15"/>
    </sheetView>
  </sheetViews>
  <sheetFormatPr defaultColWidth="12.5703125" defaultRowHeight="15.75" customHeight="1" x14ac:dyDescent="0.2"/>
  <cols>
    <col min="2" max="2" width="32.140625" customWidth="1"/>
    <col min="6" max="6" width="10.85546875" customWidth="1"/>
    <col min="7" max="7" width="32.5703125" customWidth="1"/>
    <col min="8" max="8" width="14.140625" customWidth="1"/>
  </cols>
  <sheetData>
    <row r="1" spans="2:13" x14ac:dyDescent="0.2">
      <c r="G1" s="84"/>
    </row>
    <row r="2" spans="2:13" ht="15.75" customHeight="1" x14ac:dyDescent="0.25">
      <c r="C2" s="85">
        <v>2022</v>
      </c>
      <c r="D2" s="86">
        <v>2021</v>
      </c>
      <c r="E2" s="87">
        <v>2020</v>
      </c>
      <c r="G2" s="171" t="s">
        <v>70</v>
      </c>
      <c r="H2" s="172"/>
      <c r="I2" s="172"/>
      <c r="J2" s="172"/>
      <c r="K2" s="173"/>
      <c r="L2" s="88"/>
      <c r="M2" s="88"/>
    </row>
    <row r="3" spans="2:13" ht="15.75" customHeight="1" x14ac:dyDescent="0.25">
      <c r="B3" s="89" t="s">
        <v>71</v>
      </c>
      <c r="C3" s="86"/>
      <c r="D3" s="86"/>
      <c r="E3" s="87"/>
      <c r="G3" s="90"/>
      <c r="H3" s="91">
        <v>2022</v>
      </c>
      <c r="I3" s="91">
        <v>2021</v>
      </c>
      <c r="J3" s="91">
        <v>2020</v>
      </c>
      <c r="K3" s="92"/>
    </row>
    <row r="4" spans="2:13" ht="15.75" customHeight="1" x14ac:dyDescent="0.25">
      <c r="B4" s="93"/>
      <c r="C4" s="94"/>
      <c r="D4" s="94"/>
      <c r="E4" s="95"/>
      <c r="G4" s="96" t="s">
        <v>72</v>
      </c>
      <c r="H4" s="97">
        <f>$C5/C$26</f>
        <v>0.99109263657957247</v>
      </c>
      <c r="I4" s="97">
        <f t="shared" ref="I4:J4" si="0">D5/D$26</f>
        <v>0.99867826543429761</v>
      </c>
      <c r="J4" s="97">
        <f t="shared" si="0"/>
        <v>0.98926339802294438</v>
      </c>
      <c r="K4" s="98"/>
    </row>
    <row r="5" spans="2:13" ht="15.75" customHeight="1" x14ac:dyDescent="0.25">
      <c r="B5" s="99" t="s">
        <v>72</v>
      </c>
      <c r="C5" s="100">
        <v>53408</v>
      </c>
      <c r="D5" s="100">
        <v>106537</v>
      </c>
      <c r="E5" s="101">
        <v>119689</v>
      </c>
      <c r="G5" s="96" t="s">
        <v>73</v>
      </c>
      <c r="H5" s="97">
        <f>C13/C$26</f>
        <v>8.9073634204275536E-3</v>
      </c>
      <c r="I5" s="97" t="s">
        <v>74</v>
      </c>
      <c r="J5" s="97" t="s">
        <v>74</v>
      </c>
      <c r="K5" s="98"/>
    </row>
    <row r="6" spans="2:13" ht="15.75" customHeight="1" x14ac:dyDescent="0.25">
      <c r="B6" s="102" t="s">
        <v>75</v>
      </c>
      <c r="C6" s="103">
        <v>-43766</v>
      </c>
      <c r="D6" s="103">
        <v>-92284</v>
      </c>
      <c r="E6" s="104">
        <v>-104097</v>
      </c>
      <c r="G6" s="105" t="s">
        <v>76</v>
      </c>
      <c r="H6" s="106" t="s">
        <v>74</v>
      </c>
      <c r="I6" s="106">
        <f t="shared" ref="I6:J6" si="1">D10/D$26</f>
        <v>1.3217345657023942E-3</v>
      </c>
      <c r="J6" s="106">
        <f t="shared" si="1"/>
        <v>1.0736601977055575E-2</v>
      </c>
      <c r="K6" s="107"/>
    </row>
    <row r="7" spans="2:13" ht="15.75" customHeight="1" x14ac:dyDescent="0.25">
      <c r="B7" s="108" t="s">
        <v>77</v>
      </c>
      <c r="C7" s="109">
        <f t="shared" ref="C7:E7" si="2">SUM(C5:C6)</f>
        <v>9642</v>
      </c>
      <c r="D7" s="109">
        <f t="shared" si="2"/>
        <v>14253</v>
      </c>
      <c r="E7" s="110">
        <f t="shared" si="2"/>
        <v>15592</v>
      </c>
      <c r="G7" s="84"/>
    </row>
    <row r="8" spans="2:13" ht="15.75" customHeight="1" x14ac:dyDescent="0.25">
      <c r="B8" s="93"/>
      <c r="E8" s="111"/>
      <c r="G8" s="84"/>
    </row>
    <row r="9" spans="2:13" ht="15.75" customHeight="1" x14ac:dyDescent="0.25">
      <c r="B9" s="112" t="s">
        <v>78</v>
      </c>
      <c r="C9" s="103">
        <v>-4655</v>
      </c>
      <c r="D9" s="103">
        <v>-7970</v>
      </c>
      <c r="E9" s="104">
        <v>-8876</v>
      </c>
      <c r="G9" s="171" t="s">
        <v>79</v>
      </c>
      <c r="H9" s="172"/>
      <c r="I9" s="172"/>
      <c r="J9" s="172"/>
      <c r="K9" s="173"/>
    </row>
    <row r="10" spans="2:13" ht="15.75" customHeight="1" x14ac:dyDescent="0.25">
      <c r="B10" s="113" t="s">
        <v>76</v>
      </c>
      <c r="C10" s="103" t="s">
        <v>74</v>
      </c>
      <c r="D10" s="103">
        <v>141</v>
      </c>
      <c r="E10" s="104">
        <v>1299</v>
      </c>
      <c r="G10" s="90"/>
      <c r="H10" s="91">
        <v>2022</v>
      </c>
      <c r="I10" s="91">
        <v>2021</v>
      </c>
      <c r="J10" s="91">
        <v>2020</v>
      </c>
      <c r="K10" s="92"/>
    </row>
    <row r="11" spans="2:13" ht="15.75" customHeight="1" x14ac:dyDescent="0.25">
      <c r="B11" s="114" t="s">
        <v>80</v>
      </c>
      <c r="C11" s="115">
        <v>-21</v>
      </c>
      <c r="D11" s="115" t="s">
        <v>74</v>
      </c>
      <c r="E11" s="116" t="s">
        <v>74</v>
      </c>
      <c r="G11" s="96" t="s">
        <v>81</v>
      </c>
      <c r="H11" s="97">
        <f t="shared" ref="H11:J11" si="3">C6/C$27</f>
        <v>0.9034721935510508</v>
      </c>
      <c r="I11" s="97">
        <f t="shared" si="3"/>
        <v>0.91682562390716893</v>
      </c>
      <c r="J11" s="97">
        <f t="shared" si="3"/>
        <v>0.91322770817980836</v>
      </c>
      <c r="K11" s="98"/>
    </row>
    <row r="12" spans="2:13" ht="15.75" customHeight="1" x14ac:dyDescent="0.25">
      <c r="B12" s="108" t="s">
        <v>82</v>
      </c>
      <c r="C12" s="109">
        <f t="shared" ref="C12:E12" si="4">SUM(C7:C11)</f>
        <v>4966</v>
      </c>
      <c r="D12" s="109">
        <f t="shared" si="4"/>
        <v>6424</v>
      </c>
      <c r="E12" s="110">
        <f t="shared" si="4"/>
        <v>8015</v>
      </c>
      <c r="G12" s="96" t="s">
        <v>83</v>
      </c>
      <c r="H12" s="97">
        <f t="shared" ref="H12:J12" si="5">C9/C$27</f>
        <v>9.6094298336154571E-2</v>
      </c>
      <c r="I12" s="97">
        <f t="shared" si="5"/>
        <v>7.918057542521062E-2</v>
      </c>
      <c r="J12" s="97">
        <f t="shared" si="5"/>
        <v>7.7867845738147881E-2</v>
      </c>
      <c r="K12" s="98"/>
    </row>
    <row r="13" spans="2:13" ht="15.75" customHeight="1" x14ac:dyDescent="0.25">
      <c r="B13" s="113" t="s">
        <v>73</v>
      </c>
      <c r="C13" s="103">
        <v>480</v>
      </c>
      <c r="D13" s="103" t="s">
        <v>74</v>
      </c>
      <c r="E13" s="104" t="s">
        <v>74</v>
      </c>
      <c r="G13" s="96" t="s">
        <v>84</v>
      </c>
      <c r="H13" s="117" t="s">
        <v>74</v>
      </c>
      <c r="I13" s="97">
        <f t="shared" ref="I13:J13" si="6">D14/D$27</f>
        <v>3.99380066762041E-3</v>
      </c>
      <c r="J13" s="97">
        <f t="shared" si="6"/>
        <v>8.9044460820437241E-3</v>
      </c>
      <c r="K13" s="98"/>
    </row>
    <row r="14" spans="2:13" ht="15.75" customHeight="1" x14ac:dyDescent="0.25">
      <c r="B14" s="112" t="s">
        <v>84</v>
      </c>
      <c r="C14" s="103" t="s">
        <v>74</v>
      </c>
      <c r="D14" s="103">
        <v>-402</v>
      </c>
      <c r="E14" s="104">
        <v>-1015</v>
      </c>
      <c r="G14" s="105" t="s">
        <v>80</v>
      </c>
      <c r="H14" s="106">
        <f>C11/C$27</f>
        <v>4.3350811279468232E-4</v>
      </c>
      <c r="I14" s="118" t="s">
        <v>74</v>
      </c>
      <c r="J14" s="118" t="s">
        <v>74</v>
      </c>
      <c r="K14" s="107"/>
    </row>
    <row r="15" spans="2:13" ht="15.75" customHeight="1" x14ac:dyDescent="0.25">
      <c r="B15" s="108" t="s">
        <v>85</v>
      </c>
      <c r="C15" s="119">
        <f>21850-454</f>
        <v>21396</v>
      </c>
      <c r="D15" s="103" t="s">
        <v>74</v>
      </c>
      <c r="E15" s="104" t="s">
        <v>74</v>
      </c>
      <c r="G15" s="84"/>
    </row>
    <row r="16" spans="2:13" x14ac:dyDescent="0.2">
      <c r="B16" s="120" t="s">
        <v>86</v>
      </c>
      <c r="C16" s="103">
        <v>259</v>
      </c>
      <c r="D16" s="103" t="s">
        <v>74</v>
      </c>
      <c r="E16" s="104" t="s">
        <v>74</v>
      </c>
      <c r="G16" s="84"/>
    </row>
    <row r="17" spans="2:7" x14ac:dyDescent="0.2">
      <c r="B17" s="121" t="s">
        <v>87</v>
      </c>
      <c r="C17" s="103" t="s">
        <v>74</v>
      </c>
      <c r="D17" s="103" t="s">
        <v>74</v>
      </c>
      <c r="E17" s="104">
        <v>-3</v>
      </c>
      <c r="G17" s="84"/>
    </row>
    <row r="18" spans="2:7" ht="15.75" customHeight="1" x14ac:dyDescent="0.25">
      <c r="B18" s="93"/>
      <c r="C18" s="119"/>
      <c r="D18" s="119"/>
      <c r="E18" s="122"/>
      <c r="G18" s="84"/>
    </row>
    <row r="19" spans="2:7" ht="15.75" customHeight="1" x14ac:dyDescent="0.25">
      <c r="B19" s="108" t="s">
        <v>88</v>
      </c>
      <c r="C19" s="109">
        <f>SUM(C13:C16)+C12</f>
        <v>27101</v>
      </c>
      <c r="D19" s="109">
        <f>SUM(D14:D16)+D12</f>
        <v>6022</v>
      </c>
      <c r="E19" s="110">
        <f>SUM(E14:E17)+E12</f>
        <v>6997</v>
      </c>
      <c r="G19" s="84"/>
    </row>
    <row r="20" spans="2:7" x14ac:dyDescent="0.2">
      <c r="B20" s="121" t="s">
        <v>89</v>
      </c>
      <c r="C20" s="103">
        <v>-2971</v>
      </c>
      <c r="D20" s="103">
        <v>-1320</v>
      </c>
      <c r="E20" s="104">
        <v>-2143</v>
      </c>
      <c r="G20" s="84"/>
    </row>
    <row r="21" spans="2:7" ht="15.75" customHeight="1" x14ac:dyDescent="0.25">
      <c r="B21" s="93"/>
      <c r="C21" s="103"/>
      <c r="D21" s="103"/>
      <c r="E21" s="104"/>
      <c r="G21" s="84"/>
    </row>
    <row r="22" spans="2:7" ht="15.75" customHeight="1" x14ac:dyDescent="0.25">
      <c r="B22" s="108" t="s">
        <v>90</v>
      </c>
      <c r="C22" s="103">
        <f t="shared" ref="C22:D22" si="7">C19+C20</f>
        <v>24130</v>
      </c>
      <c r="D22" s="103">
        <f t="shared" si="7"/>
        <v>4702</v>
      </c>
      <c r="E22" s="104">
        <v>6072</v>
      </c>
      <c r="G22" s="84"/>
    </row>
    <row r="23" spans="2:7" ht="15.75" customHeight="1" x14ac:dyDescent="0.25">
      <c r="B23" s="108" t="s">
        <v>91</v>
      </c>
      <c r="C23" s="103">
        <v>938</v>
      </c>
      <c r="D23" s="103">
        <v>-211</v>
      </c>
      <c r="E23" s="104">
        <v>-1218</v>
      </c>
      <c r="G23" s="84"/>
    </row>
    <row r="24" spans="2:7" ht="15.75" customHeight="1" x14ac:dyDescent="0.25">
      <c r="B24" s="93"/>
      <c r="C24" s="119"/>
      <c r="D24" s="119"/>
      <c r="E24" s="122"/>
      <c r="G24" s="84"/>
    </row>
    <row r="25" spans="2:7" ht="15.75" customHeight="1" x14ac:dyDescent="0.25">
      <c r="B25" s="108" t="s">
        <v>92</v>
      </c>
      <c r="C25" s="109">
        <f>C22+C23</f>
        <v>25068</v>
      </c>
      <c r="D25" s="109">
        <f>SUM(D22+D23)</f>
        <v>4491</v>
      </c>
      <c r="E25" s="110">
        <f>SUM(E22:E23)</f>
        <v>4854</v>
      </c>
      <c r="G25" s="84"/>
    </row>
    <row r="26" spans="2:7" ht="15.75" customHeight="1" x14ac:dyDescent="0.25">
      <c r="B26" s="93" t="s">
        <v>93</v>
      </c>
      <c r="C26" s="123">
        <f t="shared" ref="C26:E26" si="8">SUM(C10,C5,C13)</f>
        <v>53888</v>
      </c>
      <c r="D26" s="123">
        <f t="shared" si="8"/>
        <v>106678</v>
      </c>
      <c r="E26" s="124">
        <f t="shared" si="8"/>
        <v>120988</v>
      </c>
      <c r="G26" s="84"/>
    </row>
    <row r="27" spans="2:7" ht="15.75" customHeight="1" x14ac:dyDescent="0.25">
      <c r="B27" s="125" t="s">
        <v>94</v>
      </c>
      <c r="C27" s="126">
        <f t="shared" ref="C27:E27" si="9">SUM(C6,C9,C11,C14)</f>
        <v>-48442</v>
      </c>
      <c r="D27" s="126">
        <f t="shared" si="9"/>
        <v>-100656</v>
      </c>
      <c r="E27" s="127">
        <f t="shared" si="9"/>
        <v>-113988</v>
      </c>
      <c r="G27" s="84"/>
    </row>
    <row r="28" spans="2:7" x14ac:dyDescent="0.2">
      <c r="G28" s="84"/>
    </row>
    <row r="29" spans="2:7" ht="15.75" customHeight="1" x14ac:dyDescent="0.25">
      <c r="B29" s="123" t="s">
        <v>95</v>
      </c>
      <c r="C29" s="128">
        <f t="shared" ref="C29:E29" si="10">-C27/C26</f>
        <v>0.89893853919239908</v>
      </c>
      <c r="D29" s="128">
        <f t="shared" si="10"/>
        <v>0.94354974783929213</v>
      </c>
      <c r="E29" s="128">
        <f t="shared" si="10"/>
        <v>0.94214302244850734</v>
      </c>
      <c r="G29" s="84"/>
    </row>
    <row r="30" spans="2:7" ht="15.75" customHeight="1" x14ac:dyDescent="0.25">
      <c r="B30" s="129" t="s">
        <v>96</v>
      </c>
      <c r="C30" s="128">
        <f t="shared" ref="C30:E30" si="11">-C6/C5</f>
        <v>0.81946524865188741</v>
      </c>
      <c r="D30" s="128">
        <f t="shared" si="11"/>
        <v>0.8662154932089321</v>
      </c>
      <c r="E30" s="128">
        <f t="shared" si="11"/>
        <v>0.86972904778216875</v>
      </c>
      <c r="G30" s="84"/>
    </row>
    <row r="31" spans="2:7" ht="15.75" customHeight="1" x14ac:dyDescent="0.25">
      <c r="B31" s="129" t="s">
        <v>97</v>
      </c>
      <c r="C31" s="128">
        <f t="shared" ref="C31:E31" si="12">-C9/C5</f>
        <v>8.7159227082085081E-2</v>
      </c>
      <c r="D31" s="128">
        <f t="shared" si="12"/>
        <v>7.4809690530050599E-2</v>
      </c>
      <c r="E31" s="128">
        <f t="shared" si="12"/>
        <v>7.4158861716615565E-2</v>
      </c>
      <c r="G31" s="84"/>
    </row>
    <row r="32" spans="2:7" x14ac:dyDescent="0.2">
      <c r="G32" s="84"/>
    </row>
    <row r="33" spans="7:7" x14ac:dyDescent="0.2">
      <c r="G33" s="84"/>
    </row>
    <row r="34" spans="7:7" x14ac:dyDescent="0.2">
      <c r="G34" s="84"/>
    </row>
    <row r="35" spans="7:7" x14ac:dyDescent="0.2">
      <c r="G35" s="84"/>
    </row>
    <row r="36" spans="7:7" x14ac:dyDescent="0.2">
      <c r="G36" s="84"/>
    </row>
    <row r="37" spans="7:7" ht="12.75" x14ac:dyDescent="0.2">
      <c r="G37" s="84"/>
    </row>
    <row r="38" spans="7:7" ht="12.75" x14ac:dyDescent="0.2">
      <c r="G38" s="84"/>
    </row>
    <row r="39" spans="7:7" ht="12.75" x14ac:dyDescent="0.2">
      <c r="G39" s="84"/>
    </row>
    <row r="40" spans="7:7" ht="12.75" x14ac:dyDescent="0.2">
      <c r="G40" s="84"/>
    </row>
    <row r="41" spans="7:7" ht="12.75" x14ac:dyDescent="0.2">
      <c r="G41" s="84"/>
    </row>
    <row r="42" spans="7:7" ht="12.75" x14ac:dyDescent="0.2">
      <c r="G42" s="84"/>
    </row>
    <row r="43" spans="7:7" ht="12.75" x14ac:dyDescent="0.2">
      <c r="G43" s="84"/>
    </row>
    <row r="44" spans="7:7" ht="12.75" x14ac:dyDescent="0.2">
      <c r="G44" s="84"/>
    </row>
    <row r="45" spans="7:7" ht="12.75" x14ac:dyDescent="0.2">
      <c r="G45" s="84"/>
    </row>
    <row r="46" spans="7:7" ht="12.75" x14ac:dyDescent="0.2">
      <c r="G46" s="84"/>
    </row>
    <row r="47" spans="7:7" ht="12.75" x14ac:dyDescent="0.2">
      <c r="G47" s="84"/>
    </row>
    <row r="48" spans="7:7" ht="12.75" x14ac:dyDescent="0.2">
      <c r="G48" s="84"/>
    </row>
    <row r="49" spans="7:7" ht="12.75" x14ac:dyDescent="0.2">
      <c r="G49" s="84"/>
    </row>
    <row r="50" spans="7:7" ht="12.75" x14ac:dyDescent="0.2">
      <c r="G50" s="84"/>
    </row>
    <row r="51" spans="7:7" ht="12.75" x14ac:dyDescent="0.2">
      <c r="G51" s="84"/>
    </row>
    <row r="52" spans="7:7" ht="12.75" x14ac:dyDescent="0.2">
      <c r="G52" s="84"/>
    </row>
    <row r="53" spans="7:7" ht="12.75" x14ac:dyDescent="0.2">
      <c r="G53" s="84"/>
    </row>
    <row r="54" spans="7:7" ht="12.75" x14ac:dyDescent="0.2">
      <c r="G54" s="84"/>
    </row>
    <row r="55" spans="7:7" ht="12.75" x14ac:dyDescent="0.2">
      <c r="G55" s="84"/>
    </row>
    <row r="56" spans="7:7" ht="12.75" x14ac:dyDescent="0.2">
      <c r="G56" s="84"/>
    </row>
    <row r="57" spans="7:7" ht="12.75" x14ac:dyDescent="0.2">
      <c r="G57" s="84"/>
    </row>
    <row r="58" spans="7:7" ht="12.75" x14ac:dyDescent="0.2">
      <c r="G58" s="84"/>
    </row>
    <row r="59" spans="7:7" ht="12.75" x14ac:dyDescent="0.2">
      <c r="G59" s="84"/>
    </row>
    <row r="60" spans="7:7" ht="12.75" x14ac:dyDescent="0.2">
      <c r="G60" s="84"/>
    </row>
    <row r="61" spans="7:7" ht="12.75" x14ac:dyDescent="0.2">
      <c r="G61" s="84"/>
    </row>
    <row r="62" spans="7:7" ht="12.75" x14ac:dyDescent="0.2">
      <c r="G62" s="84"/>
    </row>
    <row r="63" spans="7:7" ht="12.75" x14ac:dyDescent="0.2">
      <c r="G63" s="84"/>
    </row>
    <row r="64" spans="7:7" ht="12.75" x14ac:dyDescent="0.2">
      <c r="G64" s="84"/>
    </row>
    <row r="65" spans="7:7" ht="12.75" x14ac:dyDescent="0.2">
      <c r="G65" s="84"/>
    </row>
    <row r="66" spans="7:7" ht="12.75" x14ac:dyDescent="0.2">
      <c r="G66" s="84"/>
    </row>
    <row r="67" spans="7:7" ht="12.75" x14ac:dyDescent="0.2">
      <c r="G67" s="84"/>
    </row>
    <row r="68" spans="7:7" ht="12.75" x14ac:dyDescent="0.2">
      <c r="G68" s="84"/>
    </row>
    <row r="69" spans="7:7" ht="12.75" x14ac:dyDescent="0.2">
      <c r="G69" s="84"/>
    </row>
    <row r="70" spans="7:7" ht="12.75" x14ac:dyDescent="0.2">
      <c r="G70" s="84"/>
    </row>
    <row r="71" spans="7:7" ht="12.75" x14ac:dyDescent="0.2">
      <c r="G71" s="84"/>
    </row>
    <row r="72" spans="7:7" ht="12.75" x14ac:dyDescent="0.2">
      <c r="G72" s="84"/>
    </row>
    <row r="73" spans="7:7" ht="12.75" x14ac:dyDescent="0.2">
      <c r="G73" s="84"/>
    </row>
    <row r="74" spans="7:7" ht="12.75" x14ac:dyDescent="0.2">
      <c r="G74" s="84"/>
    </row>
    <row r="75" spans="7:7" ht="12.75" x14ac:dyDescent="0.2">
      <c r="G75" s="84"/>
    </row>
    <row r="76" spans="7:7" ht="12.75" x14ac:dyDescent="0.2">
      <c r="G76" s="84"/>
    </row>
    <row r="77" spans="7:7" ht="12.75" x14ac:dyDescent="0.2">
      <c r="G77" s="84"/>
    </row>
    <row r="78" spans="7:7" ht="12.75" x14ac:dyDescent="0.2">
      <c r="G78" s="84"/>
    </row>
    <row r="79" spans="7:7" ht="12.75" x14ac:dyDescent="0.2">
      <c r="G79" s="84"/>
    </row>
    <row r="80" spans="7:7" ht="12.75" x14ac:dyDescent="0.2">
      <c r="G80" s="84"/>
    </row>
    <row r="81" spans="7:7" ht="12.75" x14ac:dyDescent="0.2">
      <c r="G81" s="84"/>
    </row>
    <row r="82" spans="7:7" ht="12.75" x14ac:dyDescent="0.2">
      <c r="G82" s="84"/>
    </row>
    <row r="83" spans="7:7" ht="12.75" x14ac:dyDescent="0.2">
      <c r="G83" s="84"/>
    </row>
    <row r="84" spans="7:7" ht="12.75" x14ac:dyDescent="0.2">
      <c r="G84" s="84"/>
    </row>
    <row r="85" spans="7:7" ht="12.75" x14ac:dyDescent="0.2">
      <c r="G85" s="84"/>
    </row>
    <row r="86" spans="7:7" ht="12.75" x14ac:dyDescent="0.2">
      <c r="G86" s="84"/>
    </row>
    <row r="87" spans="7:7" ht="12.75" x14ac:dyDescent="0.2">
      <c r="G87" s="84"/>
    </row>
    <row r="88" spans="7:7" ht="12.75" x14ac:dyDescent="0.2">
      <c r="G88" s="84"/>
    </row>
    <row r="89" spans="7:7" ht="12.75" x14ac:dyDescent="0.2">
      <c r="G89" s="84"/>
    </row>
    <row r="90" spans="7:7" ht="12.75" x14ac:dyDescent="0.2">
      <c r="G90" s="84"/>
    </row>
    <row r="91" spans="7:7" ht="12.75" x14ac:dyDescent="0.2">
      <c r="G91" s="84"/>
    </row>
    <row r="92" spans="7:7" ht="12.75" x14ac:dyDescent="0.2">
      <c r="G92" s="84"/>
    </row>
    <row r="93" spans="7:7" ht="12.75" x14ac:dyDescent="0.2">
      <c r="G93" s="84"/>
    </row>
    <row r="94" spans="7:7" ht="12.75" x14ac:dyDescent="0.2">
      <c r="G94" s="84"/>
    </row>
    <row r="95" spans="7:7" ht="12.75" x14ac:dyDescent="0.2">
      <c r="G95" s="84"/>
    </row>
    <row r="96" spans="7:7" ht="12.75" x14ac:dyDescent="0.2">
      <c r="G96" s="84"/>
    </row>
    <row r="97" spans="7:7" ht="12.75" x14ac:dyDescent="0.2">
      <c r="G97" s="84"/>
    </row>
    <row r="98" spans="7:7" ht="12.75" x14ac:dyDescent="0.2">
      <c r="G98" s="84"/>
    </row>
    <row r="99" spans="7:7" ht="12.75" x14ac:dyDescent="0.2">
      <c r="G99" s="84"/>
    </row>
    <row r="100" spans="7:7" ht="12.75" x14ac:dyDescent="0.2">
      <c r="G100" s="84"/>
    </row>
    <row r="101" spans="7:7" ht="12.75" x14ac:dyDescent="0.2">
      <c r="G101" s="84"/>
    </row>
    <row r="102" spans="7:7" ht="12.75" x14ac:dyDescent="0.2">
      <c r="G102" s="84"/>
    </row>
    <row r="103" spans="7:7" ht="12.75" x14ac:dyDescent="0.2">
      <c r="G103" s="84"/>
    </row>
    <row r="104" spans="7:7" ht="12.75" x14ac:dyDescent="0.2">
      <c r="G104" s="84"/>
    </row>
    <row r="105" spans="7:7" ht="12.75" x14ac:dyDescent="0.2">
      <c r="G105" s="84"/>
    </row>
    <row r="106" spans="7:7" ht="12.75" x14ac:dyDescent="0.2">
      <c r="G106" s="84"/>
    </row>
    <row r="107" spans="7:7" ht="12.75" x14ac:dyDescent="0.2">
      <c r="G107" s="84"/>
    </row>
    <row r="108" spans="7:7" ht="12.75" x14ac:dyDescent="0.2">
      <c r="G108" s="84"/>
    </row>
    <row r="109" spans="7:7" ht="12.75" x14ac:dyDescent="0.2">
      <c r="G109" s="84"/>
    </row>
    <row r="110" spans="7:7" ht="12.75" x14ac:dyDescent="0.2">
      <c r="G110" s="84"/>
    </row>
    <row r="111" spans="7:7" ht="12.75" x14ac:dyDescent="0.2">
      <c r="G111" s="84"/>
    </row>
    <row r="112" spans="7:7" ht="12.75" x14ac:dyDescent="0.2">
      <c r="G112" s="84"/>
    </row>
    <row r="113" spans="7:7" ht="12.75" x14ac:dyDescent="0.2">
      <c r="G113" s="84"/>
    </row>
    <row r="114" spans="7:7" ht="12.75" x14ac:dyDescent="0.2">
      <c r="G114" s="84"/>
    </row>
    <row r="115" spans="7:7" ht="12.75" x14ac:dyDescent="0.2">
      <c r="G115" s="84"/>
    </row>
    <row r="116" spans="7:7" ht="12.75" x14ac:dyDescent="0.2">
      <c r="G116" s="84"/>
    </row>
    <row r="117" spans="7:7" ht="12.75" x14ac:dyDescent="0.2">
      <c r="G117" s="84"/>
    </row>
    <row r="118" spans="7:7" ht="12.75" x14ac:dyDescent="0.2">
      <c r="G118" s="84"/>
    </row>
    <row r="119" spans="7:7" ht="12.75" x14ac:dyDescent="0.2">
      <c r="G119" s="84"/>
    </row>
    <row r="120" spans="7:7" ht="12.75" x14ac:dyDescent="0.2">
      <c r="G120" s="84"/>
    </row>
    <row r="121" spans="7:7" ht="12.75" x14ac:dyDescent="0.2">
      <c r="G121" s="84"/>
    </row>
    <row r="122" spans="7:7" ht="12.75" x14ac:dyDescent="0.2">
      <c r="G122" s="84"/>
    </row>
    <row r="123" spans="7:7" ht="12.75" x14ac:dyDescent="0.2">
      <c r="G123" s="84"/>
    </row>
    <row r="124" spans="7:7" ht="12.75" x14ac:dyDescent="0.2">
      <c r="G124" s="84"/>
    </row>
    <row r="125" spans="7:7" ht="12.75" x14ac:dyDescent="0.2">
      <c r="G125" s="84"/>
    </row>
    <row r="126" spans="7:7" ht="12.75" x14ac:dyDescent="0.2">
      <c r="G126" s="84"/>
    </row>
    <row r="127" spans="7:7" ht="12.75" x14ac:dyDescent="0.2">
      <c r="G127" s="84"/>
    </row>
    <row r="128" spans="7:7" ht="12.75" x14ac:dyDescent="0.2">
      <c r="G128" s="84"/>
    </row>
    <row r="129" spans="7:7" ht="12.75" x14ac:dyDescent="0.2">
      <c r="G129" s="84"/>
    </row>
    <row r="130" spans="7:7" ht="12.75" x14ac:dyDescent="0.2">
      <c r="G130" s="84"/>
    </row>
    <row r="131" spans="7:7" ht="12.75" x14ac:dyDescent="0.2">
      <c r="G131" s="84"/>
    </row>
    <row r="132" spans="7:7" ht="12.75" x14ac:dyDescent="0.2">
      <c r="G132" s="84"/>
    </row>
    <row r="133" spans="7:7" ht="12.75" x14ac:dyDescent="0.2">
      <c r="G133" s="84"/>
    </row>
    <row r="134" spans="7:7" ht="12.75" x14ac:dyDescent="0.2">
      <c r="G134" s="84"/>
    </row>
    <row r="135" spans="7:7" ht="12.75" x14ac:dyDescent="0.2">
      <c r="G135" s="84"/>
    </row>
    <row r="136" spans="7:7" ht="12.75" x14ac:dyDescent="0.2">
      <c r="G136" s="84"/>
    </row>
    <row r="137" spans="7:7" ht="12.75" x14ac:dyDescent="0.2">
      <c r="G137" s="84"/>
    </row>
    <row r="138" spans="7:7" ht="12.75" x14ac:dyDescent="0.2">
      <c r="G138" s="84"/>
    </row>
    <row r="139" spans="7:7" ht="12.75" x14ac:dyDescent="0.2">
      <c r="G139" s="84"/>
    </row>
    <row r="140" spans="7:7" ht="12.75" x14ac:dyDescent="0.2">
      <c r="G140" s="84"/>
    </row>
    <row r="141" spans="7:7" ht="12.75" x14ac:dyDescent="0.2">
      <c r="G141" s="84"/>
    </row>
    <row r="142" spans="7:7" ht="12.75" x14ac:dyDescent="0.2">
      <c r="G142" s="84"/>
    </row>
    <row r="143" spans="7:7" ht="12.75" x14ac:dyDescent="0.2">
      <c r="G143" s="84"/>
    </row>
    <row r="144" spans="7:7" ht="12.75" x14ac:dyDescent="0.2">
      <c r="G144" s="84"/>
    </row>
    <row r="145" spans="7:7" ht="12.75" x14ac:dyDescent="0.2">
      <c r="G145" s="84"/>
    </row>
    <row r="146" spans="7:7" ht="12.75" x14ac:dyDescent="0.2">
      <c r="G146" s="84"/>
    </row>
    <row r="147" spans="7:7" ht="12.75" x14ac:dyDescent="0.2">
      <c r="G147" s="84"/>
    </row>
    <row r="148" spans="7:7" ht="12.75" x14ac:dyDescent="0.2">
      <c r="G148" s="84"/>
    </row>
    <row r="149" spans="7:7" ht="12.75" x14ac:dyDescent="0.2">
      <c r="G149" s="84"/>
    </row>
    <row r="150" spans="7:7" ht="12.75" x14ac:dyDescent="0.2">
      <c r="G150" s="84"/>
    </row>
    <row r="151" spans="7:7" ht="12.75" x14ac:dyDescent="0.2">
      <c r="G151" s="84"/>
    </row>
    <row r="152" spans="7:7" ht="12.75" x14ac:dyDescent="0.2">
      <c r="G152" s="84"/>
    </row>
    <row r="153" spans="7:7" ht="12.75" x14ac:dyDescent="0.2">
      <c r="G153" s="84"/>
    </row>
    <row r="154" spans="7:7" ht="12.75" x14ac:dyDescent="0.2">
      <c r="G154" s="84"/>
    </row>
    <row r="155" spans="7:7" ht="12.75" x14ac:dyDescent="0.2">
      <c r="G155" s="84"/>
    </row>
    <row r="156" spans="7:7" ht="12.75" x14ac:dyDescent="0.2">
      <c r="G156" s="84"/>
    </row>
    <row r="157" spans="7:7" ht="12.75" x14ac:dyDescent="0.2">
      <c r="G157" s="84"/>
    </row>
    <row r="158" spans="7:7" ht="12.75" x14ac:dyDescent="0.2">
      <c r="G158" s="84"/>
    </row>
    <row r="159" spans="7:7" ht="12.75" x14ac:dyDescent="0.2">
      <c r="G159" s="84"/>
    </row>
    <row r="160" spans="7:7" ht="12.75" x14ac:dyDescent="0.2">
      <c r="G160" s="84"/>
    </row>
    <row r="161" spans="7:7" ht="12.75" x14ac:dyDescent="0.2">
      <c r="G161" s="84"/>
    </row>
    <row r="162" spans="7:7" ht="12.75" x14ac:dyDescent="0.2">
      <c r="G162" s="84"/>
    </row>
    <row r="163" spans="7:7" ht="12.75" x14ac:dyDescent="0.2">
      <c r="G163" s="84"/>
    </row>
    <row r="164" spans="7:7" ht="12.75" x14ac:dyDescent="0.2">
      <c r="G164" s="84"/>
    </row>
    <row r="165" spans="7:7" ht="12.75" x14ac:dyDescent="0.2">
      <c r="G165" s="84"/>
    </row>
    <row r="166" spans="7:7" ht="12.75" x14ac:dyDescent="0.2">
      <c r="G166" s="84"/>
    </row>
    <row r="167" spans="7:7" ht="12.75" x14ac:dyDescent="0.2">
      <c r="G167" s="84"/>
    </row>
    <row r="168" spans="7:7" ht="12.75" x14ac:dyDescent="0.2">
      <c r="G168" s="84"/>
    </row>
    <row r="169" spans="7:7" ht="12.75" x14ac:dyDescent="0.2">
      <c r="G169" s="84"/>
    </row>
    <row r="170" spans="7:7" ht="12.75" x14ac:dyDescent="0.2">
      <c r="G170" s="84"/>
    </row>
    <row r="171" spans="7:7" ht="12.75" x14ac:dyDescent="0.2">
      <c r="G171" s="84"/>
    </row>
    <row r="172" spans="7:7" ht="12.75" x14ac:dyDescent="0.2">
      <c r="G172" s="84"/>
    </row>
    <row r="173" spans="7:7" ht="12.75" x14ac:dyDescent="0.2">
      <c r="G173" s="84"/>
    </row>
    <row r="174" spans="7:7" ht="12.75" x14ac:dyDescent="0.2">
      <c r="G174" s="84"/>
    </row>
    <row r="175" spans="7:7" ht="12.75" x14ac:dyDescent="0.2">
      <c r="G175" s="84"/>
    </row>
    <row r="176" spans="7:7" ht="12.75" x14ac:dyDescent="0.2">
      <c r="G176" s="84"/>
    </row>
    <row r="177" spans="7:7" ht="12.75" x14ac:dyDescent="0.2">
      <c r="G177" s="84"/>
    </row>
    <row r="178" spans="7:7" ht="12.75" x14ac:dyDescent="0.2">
      <c r="G178" s="84"/>
    </row>
    <row r="179" spans="7:7" ht="12.75" x14ac:dyDescent="0.2">
      <c r="G179" s="84"/>
    </row>
    <row r="180" spans="7:7" ht="12.75" x14ac:dyDescent="0.2">
      <c r="G180" s="84"/>
    </row>
    <row r="181" spans="7:7" ht="12.75" x14ac:dyDescent="0.2">
      <c r="G181" s="84"/>
    </row>
    <row r="182" spans="7:7" ht="12.75" x14ac:dyDescent="0.2">
      <c r="G182" s="84"/>
    </row>
    <row r="183" spans="7:7" ht="12.75" x14ac:dyDescent="0.2">
      <c r="G183" s="84"/>
    </row>
    <row r="184" spans="7:7" ht="12.75" x14ac:dyDescent="0.2">
      <c r="G184" s="84"/>
    </row>
    <row r="185" spans="7:7" ht="12.75" x14ac:dyDescent="0.2">
      <c r="G185" s="84"/>
    </row>
    <row r="186" spans="7:7" ht="12.75" x14ac:dyDescent="0.2">
      <c r="G186" s="84"/>
    </row>
    <row r="187" spans="7:7" ht="12.75" x14ac:dyDescent="0.2">
      <c r="G187" s="84"/>
    </row>
    <row r="188" spans="7:7" ht="12.75" x14ac:dyDescent="0.2">
      <c r="G188" s="84"/>
    </row>
    <row r="189" spans="7:7" ht="12.75" x14ac:dyDescent="0.2">
      <c r="G189" s="84"/>
    </row>
    <row r="190" spans="7:7" ht="12.75" x14ac:dyDescent="0.2">
      <c r="G190" s="84"/>
    </row>
    <row r="191" spans="7:7" ht="12.75" x14ac:dyDescent="0.2">
      <c r="G191" s="84"/>
    </row>
    <row r="192" spans="7:7" ht="12.75" x14ac:dyDescent="0.2">
      <c r="G192" s="84"/>
    </row>
    <row r="193" spans="7:7" ht="12.75" x14ac:dyDescent="0.2">
      <c r="G193" s="84"/>
    </row>
    <row r="194" spans="7:7" ht="12.75" x14ac:dyDescent="0.2">
      <c r="G194" s="84"/>
    </row>
    <row r="195" spans="7:7" ht="12.75" x14ac:dyDescent="0.2">
      <c r="G195" s="84"/>
    </row>
    <row r="196" spans="7:7" ht="12.75" x14ac:dyDescent="0.2">
      <c r="G196" s="84"/>
    </row>
    <row r="197" spans="7:7" ht="12.75" x14ac:dyDescent="0.2">
      <c r="G197" s="84"/>
    </row>
    <row r="198" spans="7:7" ht="12.75" x14ac:dyDescent="0.2">
      <c r="G198" s="84"/>
    </row>
    <row r="199" spans="7:7" ht="12.75" x14ac:dyDescent="0.2">
      <c r="G199" s="84"/>
    </row>
    <row r="200" spans="7:7" ht="12.75" x14ac:dyDescent="0.2">
      <c r="G200" s="84"/>
    </row>
    <row r="201" spans="7:7" ht="12.75" x14ac:dyDescent="0.2">
      <c r="G201" s="84"/>
    </row>
    <row r="202" spans="7:7" ht="12.75" x14ac:dyDescent="0.2">
      <c r="G202" s="84"/>
    </row>
    <row r="203" spans="7:7" ht="12.75" x14ac:dyDescent="0.2">
      <c r="G203" s="84"/>
    </row>
    <row r="204" spans="7:7" ht="12.75" x14ac:dyDescent="0.2">
      <c r="G204" s="84"/>
    </row>
    <row r="205" spans="7:7" ht="12.75" x14ac:dyDescent="0.2">
      <c r="G205" s="84"/>
    </row>
    <row r="206" spans="7:7" ht="12.75" x14ac:dyDescent="0.2">
      <c r="G206" s="84"/>
    </row>
    <row r="207" spans="7:7" ht="12.75" x14ac:dyDescent="0.2">
      <c r="G207" s="84"/>
    </row>
    <row r="208" spans="7:7" ht="12.75" x14ac:dyDescent="0.2">
      <c r="G208" s="84"/>
    </row>
    <row r="209" spans="7:7" ht="12.75" x14ac:dyDescent="0.2">
      <c r="G209" s="84"/>
    </row>
    <row r="210" spans="7:7" ht="12.75" x14ac:dyDescent="0.2">
      <c r="G210" s="84"/>
    </row>
    <row r="211" spans="7:7" ht="12.75" x14ac:dyDescent="0.2">
      <c r="G211" s="84"/>
    </row>
    <row r="212" spans="7:7" ht="12.75" x14ac:dyDescent="0.2">
      <c r="G212" s="84"/>
    </row>
    <row r="213" spans="7:7" ht="12.75" x14ac:dyDescent="0.2">
      <c r="G213" s="84"/>
    </row>
    <row r="214" spans="7:7" ht="12.75" x14ac:dyDescent="0.2">
      <c r="G214" s="84"/>
    </row>
    <row r="215" spans="7:7" ht="12.75" x14ac:dyDescent="0.2">
      <c r="G215" s="84"/>
    </row>
    <row r="216" spans="7:7" ht="12.75" x14ac:dyDescent="0.2">
      <c r="G216" s="84"/>
    </row>
    <row r="217" spans="7:7" ht="12.75" x14ac:dyDescent="0.2">
      <c r="G217" s="84"/>
    </row>
    <row r="218" spans="7:7" ht="12.75" x14ac:dyDescent="0.2">
      <c r="G218" s="84"/>
    </row>
    <row r="219" spans="7:7" ht="12.75" x14ac:dyDescent="0.2">
      <c r="G219" s="84"/>
    </row>
    <row r="220" spans="7:7" ht="12.75" x14ac:dyDescent="0.2">
      <c r="G220" s="84"/>
    </row>
    <row r="221" spans="7:7" ht="12.75" x14ac:dyDescent="0.2">
      <c r="G221" s="84"/>
    </row>
    <row r="222" spans="7:7" ht="12.75" x14ac:dyDescent="0.2">
      <c r="G222" s="84"/>
    </row>
    <row r="223" spans="7:7" ht="12.75" x14ac:dyDescent="0.2">
      <c r="G223" s="84"/>
    </row>
    <row r="224" spans="7:7" ht="12.75" x14ac:dyDescent="0.2">
      <c r="G224" s="84"/>
    </row>
    <row r="225" spans="7:7" ht="12.75" x14ac:dyDescent="0.2">
      <c r="G225" s="84"/>
    </row>
    <row r="226" spans="7:7" ht="12.75" x14ac:dyDescent="0.2">
      <c r="G226" s="84"/>
    </row>
    <row r="227" spans="7:7" ht="12.75" x14ac:dyDescent="0.2">
      <c r="G227" s="84"/>
    </row>
    <row r="228" spans="7:7" ht="12.75" x14ac:dyDescent="0.2">
      <c r="G228" s="84"/>
    </row>
    <row r="229" spans="7:7" ht="12.75" x14ac:dyDescent="0.2">
      <c r="G229" s="84"/>
    </row>
    <row r="230" spans="7:7" ht="12.75" x14ac:dyDescent="0.2">
      <c r="G230" s="84"/>
    </row>
    <row r="231" spans="7:7" ht="12.75" x14ac:dyDescent="0.2">
      <c r="G231" s="84"/>
    </row>
    <row r="232" spans="7:7" ht="12.75" x14ac:dyDescent="0.2">
      <c r="G232" s="84"/>
    </row>
    <row r="233" spans="7:7" ht="12.75" x14ac:dyDescent="0.2">
      <c r="G233" s="84"/>
    </row>
    <row r="234" spans="7:7" ht="12.75" x14ac:dyDescent="0.2">
      <c r="G234" s="84"/>
    </row>
    <row r="235" spans="7:7" ht="12.75" x14ac:dyDescent="0.2">
      <c r="G235" s="84"/>
    </row>
    <row r="236" spans="7:7" ht="12.75" x14ac:dyDescent="0.2">
      <c r="G236" s="84"/>
    </row>
    <row r="237" spans="7:7" ht="12.75" x14ac:dyDescent="0.2">
      <c r="G237" s="84"/>
    </row>
    <row r="238" spans="7:7" ht="12.75" x14ac:dyDescent="0.2">
      <c r="G238" s="84"/>
    </row>
    <row r="239" spans="7:7" ht="12.75" x14ac:dyDescent="0.2">
      <c r="G239" s="84"/>
    </row>
    <row r="240" spans="7:7" ht="12.75" x14ac:dyDescent="0.2">
      <c r="G240" s="84"/>
    </row>
    <row r="241" spans="7:7" ht="12.75" x14ac:dyDescent="0.2">
      <c r="G241" s="84"/>
    </row>
    <row r="242" spans="7:7" ht="12.75" x14ac:dyDescent="0.2">
      <c r="G242" s="84"/>
    </row>
    <row r="243" spans="7:7" ht="12.75" x14ac:dyDescent="0.2">
      <c r="G243" s="84"/>
    </row>
    <row r="244" spans="7:7" ht="12.75" x14ac:dyDescent="0.2">
      <c r="G244" s="84"/>
    </row>
    <row r="245" spans="7:7" ht="12.75" x14ac:dyDescent="0.2">
      <c r="G245" s="84"/>
    </row>
    <row r="246" spans="7:7" ht="12.75" x14ac:dyDescent="0.2">
      <c r="G246" s="84"/>
    </row>
    <row r="247" spans="7:7" ht="12.75" x14ac:dyDescent="0.2">
      <c r="G247" s="84"/>
    </row>
    <row r="248" spans="7:7" ht="12.75" x14ac:dyDescent="0.2">
      <c r="G248" s="84"/>
    </row>
    <row r="249" spans="7:7" ht="12.75" x14ac:dyDescent="0.2">
      <c r="G249" s="84"/>
    </row>
    <row r="250" spans="7:7" ht="12.75" x14ac:dyDescent="0.2">
      <c r="G250" s="84"/>
    </row>
    <row r="251" spans="7:7" ht="12.75" x14ac:dyDescent="0.2">
      <c r="G251" s="84"/>
    </row>
    <row r="252" spans="7:7" ht="12.75" x14ac:dyDescent="0.2">
      <c r="G252" s="84"/>
    </row>
    <row r="253" spans="7:7" ht="12.75" x14ac:dyDescent="0.2">
      <c r="G253" s="84"/>
    </row>
    <row r="254" spans="7:7" ht="12.75" x14ac:dyDescent="0.2">
      <c r="G254" s="84"/>
    </row>
    <row r="255" spans="7:7" ht="12.75" x14ac:dyDescent="0.2">
      <c r="G255" s="84"/>
    </row>
    <row r="256" spans="7:7" ht="12.75" x14ac:dyDescent="0.2">
      <c r="G256" s="84"/>
    </row>
    <row r="257" spans="7:7" ht="12.75" x14ac:dyDescent="0.2">
      <c r="G257" s="84"/>
    </row>
    <row r="258" spans="7:7" ht="12.75" x14ac:dyDescent="0.2">
      <c r="G258" s="84"/>
    </row>
    <row r="259" spans="7:7" ht="12.75" x14ac:dyDescent="0.2">
      <c r="G259" s="84"/>
    </row>
    <row r="260" spans="7:7" ht="12.75" x14ac:dyDescent="0.2">
      <c r="G260" s="84"/>
    </row>
    <row r="261" spans="7:7" ht="12.75" x14ac:dyDescent="0.2">
      <c r="G261" s="84"/>
    </row>
    <row r="262" spans="7:7" ht="12.75" x14ac:dyDescent="0.2">
      <c r="G262" s="84"/>
    </row>
    <row r="263" spans="7:7" ht="12.75" x14ac:dyDescent="0.2">
      <c r="G263" s="84"/>
    </row>
    <row r="264" spans="7:7" ht="12.75" x14ac:dyDescent="0.2">
      <c r="G264" s="84"/>
    </row>
    <row r="265" spans="7:7" ht="12.75" x14ac:dyDescent="0.2">
      <c r="G265" s="84"/>
    </row>
    <row r="266" spans="7:7" ht="12.75" x14ac:dyDescent="0.2">
      <c r="G266" s="84"/>
    </row>
    <row r="267" spans="7:7" ht="12.75" x14ac:dyDescent="0.2">
      <c r="G267" s="84"/>
    </row>
    <row r="268" spans="7:7" ht="12.75" x14ac:dyDescent="0.2">
      <c r="G268" s="84"/>
    </row>
    <row r="269" spans="7:7" ht="12.75" x14ac:dyDescent="0.2">
      <c r="G269" s="84"/>
    </row>
    <row r="270" spans="7:7" ht="12.75" x14ac:dyDescent="0.2">
      <c r="G270" s="84"/>
    </row>
    <row r="271" spans="7:7" ht="12.75" x14ac:dyDescent="0.2">
      <c r="G271" s="84"/>
    </row>
    <row r="272" spans="7:7" ht="12.75" x14ac:dyDescent="0.2">
      <c r="G272" s="84"/>
    </row>
    <row r="273" spans="7:7" ht="12.75" x14ac:dyDescent="0.2">
      <c r="G273" s="84"/>
    </row>
    <row r="274" spans="7:7" ht="12.75" x14ac:dyDescent="0.2">
      <c r="G274" s="84"/>
    </row>
    <row r="275" spans="7:7" ht="12.75" x14ac:dyDescent="0.2">
      <c r="G275" s="84"/>
    </row>
    <row r="276" spans="7:7" ht="12.75" x14ac:dyDescent="0.2">
      <c r="G276" s="84"/>
    </row>
    <row r="277" spans="7:7" ht="12.75" x14ac:dyDescent="0.2">
      <c r="G277" s="84"/>
    </row>
    <row r="278" spans="7:7" ht="12.75" x14ac:dyDescent="0.2">
      <c r="G278" s="84"/>
    </row>
    <row r="279" spans="7:7" ht="12.75" x14ac:dyDescent="0.2">
      <c r="G279" s="84"/>
    </row>
    <row r="280" spans="7:7" ht="12.75" x14ac:dyDescent="0.2">
      <c r="G280" s="84"/>
    </row>
    <row r="281" spans="7:7" ht="12.75" x14ac:dyDescent="0.2">
      <c r="G281" s="84"/>
    </row>
    <row r="282" spans="7:7" ht="12.75" x14ac:dyDescent="0.2">
      <c r="G282" s="84"/>
    </row>
    <row r="283" spans="7:7" ht="12.75" x14ac:dyDescent="0.2">
      <c r="G283" s="84"/>
    </row>
    <row r="284" spans="7:7" ht="12.75" x14ac:dyDescent="0.2">
      <c r="G284" s="84"/>
    </row>
    <row r="285" spans="7:7" ht="12.75" x14ac:dyDescent="0.2">
      <c r="G285" s="84"/>
    </row>
    <row r="286" spans="7:7" ht="12.75" x14ac:dyDescent="0.2">
      <c r="G286" s="84"/>
    </row>
    <row r="287" spans="7:7" ht="12.75" x14ac:dyDescent="0.2">
      <c r="G287" s="84"/>
    </row>
    <row r="288" spans="7:7" ht="12.75" x14ac:dyDescent="0.2">
      <c r="G288" s="84"/>
    </row>
    <row r="289" spans="7:7" ht="12.75" x14ac:dyDescent="0.2">
      <c r="G289" s="84"/>
    </row>
    <row r="290" spans="7:7" ht="12.75" x14ac:dyDescent="0.2">
      <c r="G290" s="84"/>
    </row>
    <row r="291" spans="7:7" ht="12.75" x14ac:dyDescent="0.2">
      <c r="G291" s="84"/>
    </row>
    <row r="292" spans="7:7" ht="12.75" x14ac:dyDescent="0.2">
      <c r="G292" s="84"/>
    </row>
    <row r="293" spans="7:7" ht="12.75" x14ac:dyDescent="0.2">
      <c r="G293" s="84"/>
    </row>
    <row r="294" spans="7:7" ht="12.75" x14ac:dyDescent="0.2">
      <c r="G294" s="84"/>
    </row>
    <row r="295" spans="7:7" ht="12.75" x14ac:dyDescent="0.2">
      <c r="G295" s="84"/>
    </row>
    <row r="296" spans="7:7" ht="12.75" x14ac:dyDescent="0.2">
      <c r="G296" s="84"/>
    </row>
    <row r="297" spans="7:7" ht="12.75" x14ac:dyDescent="0.2">
      <c r="G297" s="84"/>
    </row>
    <row r="298" spans="7:7" ht="12.75" x14ac:dyDescent="0.2">
      <c r="G298" s="84"/>
    </row>
    <row r="299" spans="7:7" ht="12.75" x14ac:dyDescent="0.2">
      <c r="G299" s="84"/>
    </row>
    <row r="300" spans="7:7" ht="12.75" x14ac:dyDescent="0.2">
      <c r="G300" s="84"/>
    </row>
    <row r="301" spans="7:7" ht="12.75" x14ac:dyDescent="0.2">
      <c r="G301" s="84"/>
    </row>
    <row r="302" spans="7:7" ht="12.75" x14ac:dyDescent="0.2">
      <c r="G302" s="84"/>
    </row>
    <row r="303" spans="7:7" ht="12.75" x14ac:dyDescent="0.2">
      <c r="G303" s="84"/>
    </row>
    <row r="304" spans="7:7" ht="12.75" x14ac:dyDescent="0.2">
      <c r="G304" s="84"/>
    </row>
    <row r="305" spans="7:7" ht="12.75" x14ac:dyDescent="0.2">
      <c r="G305" s="84"/>
    </row>
    <row r="306" spans="7:7" ht="12.75" x14ac:dyDescent="0.2">
      <c r="G306" s="84"/>
    </row>
    <row r="307" spans="7:7" ht="12.75" x14ac:dyDescent="0.2">
      <c r="G307" s="84"/>
    </row>
    <row r="308" spans="7:7" ht="12.75" x14ac:dyDescent="0.2">
      <c r="G308" s="84"/>
    </row>
    <row r="309" spans="7:7" ht="12.75" x14ac:dyDescent="0.2">
      <c r="G309" s="84"/>
    </row>
    <row r="310" spans="7:7" ht="12.75" x14ac:dyDescent="0.2">
      <c r="G310" s="84"/>
    </row>
    <row r="311" spans="7:7" ht="12.75" x14ac:dyDescent="0.2">
      <c r="G311" s="84"/>
    </row>
    <row r="312" spans="7:7" ht="12.75" x14ac:dyDescent="0.2">
      <c r="G312" s="84"/>
    </row>
    <row r="313" spans="7:7" ht="12.75" x14ac:dyDescent="0.2">
      <c r="G313" s="84"/>
    </row>
    <row r="314" spans="7:7" ht="12.75" x14ac:dyDescent="0.2">
      <c r="G314" s="84"/>
    </row>
    <row r="315" spans="7:7" ht="12.75" x14ac:dyDescent="0.2">
      <c r="G315" s="84"/>
    </row>
    <row r="316" spans="7:7" ht="12.75" x14ac:dyDescent="0.2">
      <c r="G316" s="84"/>
    </row>
    <row r="317" spans="7:7" ht="12.75" x14ac:dyDescent="0.2">
      <c r="G317" s="84"/>
    </row>
    <row r="318" spans="7:7" ht="12.75" x14ac:dyDescent="0.2">
      <c r="G318" s="84"/>
    </row>
    <row r="319" spans="7:7" ht="12.75" x14ac:dyDescent="0.2">
      <c r="G319" s="84"/>
    </row>
    <row r="320" spans="7:7" ht="12.75" x14ac:dyDescent="0.2">
      <c r="G320" s="84"/>
    </row>
    <row r="321" spans="7:7" ht="12.75" x14ac:dyDescent="0.2">
      <c r="G321" s="84"/>
    </row>
    <row r="322" spans="7:7" ht="12.75" x14ac:dyDescent="0.2">
      <c r="G322" s="84"/>
    </row>
    <row r="323" spans="7:7" ht="12.75" x14ac:dyDescent="0.2">
      <c r="G323" s="84"/>
    </row>
    <row r="324" spans="7:7" ht="12.75" x14ac:dyDescent="0.2">
      <c r="G324" s="84"/>
    </row>
    <row r="325" spans="7:7" ht="12.75" x14ac:dyDescent="0.2">
      <c r="G325" s="84"/>
    </row>
    <row r="326" spans="7:7" ht="12.75" x14ac:dyDescent="0.2">
      <c r="G326" s="84"/>
    </row>
    <row r="327" spans="7:7" ht="12.75" x14ac:dyDescent="0.2">
      <c r="G327" s="84"/>
    </row>
    <row r="328" spans="7:7" ht="12.75" x14ac:dyDescent="0.2">
      <c r="G328" s="84"/>
    </row>
    <row r="329" spans="7:7" ht="12.75" x14ac:dyDescent="0.2">
      <c r="G329" s="84"/>
    </row>
    <row r="330" spans="7:7" ht="12.75" x14ac:dyDescent="0.2">
      <c r="G330" s="84"/>
    </row>
    <row r="331" spans="7:7" ht="12.75" x14ac:dyDescent="0.2">
      <c r="G331" s="84"/>
    </row>
    <row r="332" spans="7:7" ht="12.75" x14ac:dyDescent="0.2">
      <c r="G332" s="84"/>
    </row>
    <row r="333" spans="7:7" ht="12.75" x14ac:dyDescent="0.2">
      <c r="G333" s="84"/>
    </row>
    <row r="334" spans="7:7" ht="12.75" x14ac:dyDescent="0.2">
      <c r="G334" s="84"/>
    </row>
    <row r="335" spans="7:7" ht="12.75" x14ac:dyDescent="0.2">
      <c r="G335" s="84"/>
    </row>
    <row r="336" spans="7:7" ht="12.75" x14ac:dyDescent="0.2">
      <c r="G336" s="84"/>
    </row>
    <row r="337" spans="7:7" ht="12.75" x14ac:dyDescent="0.2">
      <c r="G337" s="84"/>
    </row>
    <row r="338" spans="7:7" ht="12.75" x14ac:dyDescent="0.2">
      <c r="G338" s="84"/>
    </row>
    <row r="339" spans="7:7" ht="12.75" x14ac:dyDescent="0.2">
      <c r="G339" s="84"/>
    </row>
    <row r="340" spans="7:7" ht="12.75" x14ac:dyDescent="0.2">
      <c r="G340" s="84"/>
    </row>
    <row r="341" spans="7:7" ht="12.75" x14ac:dyDescent="0.2">
      <c r="G341" s="84"/>
    </row>
    <row r="342" spans="7:7" ht="12.75" x14ac:dyDescent="0.2">
      <c r="G342" s="84"/>
    </row>
    <row r="343" spans="7:7" ht="12.75" x14ac:dyDescent="0.2">
      <c r="G343" s="84"/>
    </row>
    <row r="344" spans="7:7" ht="12.75" x14ac:dyDescent="0.2">
      <c r="G344" s="84"/>
    </row>
    <row r="345" spans="7:7" ht="12.75" x14ac:dyDescent="0.2">
      <c r="G345" s="84"/>
    </row>
    <row r="346" spans="7:7" ht="12.75" x14ac:dyDescent="0.2">
      <c r="G346" s="84"/>
    </row>
    <row r="347" spans="7:7" ht="12.75" x14ac:dyDescent="0.2">
      <c r="G347" s="84"/>
    </row>
    <row r="348" spans="7:7" ht="12.75" x14ac:dyDescent="0.2">
      <c r="G348" s="84"/>
    </row>
    <row r="349" spans="7:7" ht="12.75" x14ac:dyDescent="0.2">
      <c r="G349" s="84"/>
    </row>
    <row r="350" spans="7:7" ht="12.75" x14ac:dyDescent="0.2">
      <c r="G350" s="84"/>
    </row>
    <row r="351" spans="7:7" ht="12.75" x14ac:dyDescent="0.2">
      <c r="G351" s="84"/>
    </row>
    <row r="352" spans="7:7" ht="12.75" x14ac:dyDescent="0.2">
      <c r="G352" s="84"/>
    </row>
    <row r="353" spans="7:7" ht="12.75" x14ac:dyDescent="0.2">
      <c r="G353" s="84"/>
    </row>
    <row r="354" spans="7:7" ht="12.75" x14ac:dyDescent="0.2">
      <c r="G354" s="84"/>
    </row>
    <row r="355" spans="7:7" ht="12.75" x14ac:dyDescent="0.2">
      <c r="G355" s="84"/>
    </row>
    <row r="356" spans="7:7" ht="12.75" x14ac:dyDescent="0.2">
      <c r="G356" s="84"/>
    </row>
    <row r="357" spans="7:7" ht="12.75" x14ac:dyDescent="0.2">
      <c r="G357" s="84"/>
    </row>
    <row r="358" spans="7:7" ht="12.75" x14ac:dyDescent="0.2">
      <c r="G358" s="84"/>
    </row>
    <row r="359" spans="7:7" ht="12.75" x14ac:dyDescent="0.2">
      <c r="G359" s="84"/>
    </row>
    <row r="360" spans="7:7" ht="12.75" x14ac:dyDescent="0.2">
      <c r="G360" s="84"/>
    </row>
    <row r="361" spans="7:7" ht="12.75" x14ac:dyDescent="0.2">
      <c r="G361" s="84"/>
    </row>
    <row r="362" spans="7:7" ht="12.75" x14ac:dyDescent="0.2">
      <c r="G362" s="84"/>
    </row>
    <row r="363" spans="7:7" ht="12.75" x14ac:dyDescent="0.2">
      <c r="G363" s="84"/>
    </row>
    <row r="364" spans="7:7" ht="12.75" x14ac:dyDescent="0.2">
      <c r="G364" s="84"/>
    </row>
    <row r="365" spans="7:7" ht="12.75" x14ac:dyDescent="0.2">
      <c r="G365" s="84"/>
    </row>
    <row r="366" spans="7:7" ht="12.75" x14ac:dyDescent="0.2">
      <c r="G366" s="84"/>
    </row>
    <row r="367" spans="7:7" ht="12.75" x14ac:dyDescent="0.2">
      <c r="G367" s="84"/>
    </row>
    <row r="368" spans="7:7" ht="12.75" x14ac:dyDescent="0.2">
      <c r="G368" s="84"/>
    </row>
    <row r="369" spans="7:7" ht="12.75" x14ac:dyDescent="0.2">
      <c r="G369" s="84"/>
    </row>
    <row r="370" spans="7:7" ht="12.75" x14ac:dyDescent="0.2">
      <c r="G370" s="84"/>
    </row>
    <row r="371" spans="7:7" ht="12.75" x14ac:dyDescent="0.2">
      <c r="G371" s="84"/>
    </row>
    <row r="372" spans="7:7" ht="12.75" x14ac:dyDescent="0.2">
      <c r="G372" s="84"/>
    </row>
    <row r="373" spans="7:7" ht="12.75" x14ac:dyDescent="0.2">
      <c r="G373" s="84"/>
    </row>
    <row r="374" spans="7:7" ht="12.75" x14ac:dyDescent="0.2">
      <c r="G374" s="84"/>
    </row>
    <row r="375" spans="7:7" ht="12.75" x14ac:dyDescent="0.2">
      <c r="G375" s="84"/>
    </row>
    <row r="376" spans="7:7" ht="12.75" x14ac:dyDescent="0.2">
      <c r="G376" s="84"/>
    </row>
    <row r="377" spans="7:7" ht="12.75" x14ac:dyDescent="0.2">
      <c r="G377" s="84"/>
    </row>
    <row r="378" spans="7:7" ht="12.75" x14ac:dyDescent="0.2">
      <c r="G378" s="84"/>
    </row>
    <row r="379" spans="7:7" ht="12.75" x14ac:dyDescent="0.2">
      <c r="G379" s="84"/>
    </row>
    <row r="380" spans="7:7" ht="12.75" x14ac:dyDescent="0.2">
      <c r="G380" s="84"/>
    </row>
    <row r="381" spans="7:7" ht="12.75" x14ac:dyDescent="0.2">
      <c r="G381" s="84"/>
    </row>
    <row r="382" spans="7:7" ht="12.75" x14ac:dyDescent="0.2">
      <c r="G382" s="84"/>
    </row>
    <row r="383" spans="7:7" ht="12.75" x14ac:dyDescent="0.2">
      <c r="G383" s="84"/>
    </row>
    <row r="384" spans="7:7" ht="12.75" x14ac:dyDescent="0.2">
      <c r="G384" s="84"/>
    </row>
    <row r="385" spans="7:7" ht="12.75" x14ac:dyDescent="0.2">
      <c r="G385" s="84"/>
    </row>
    <row r="386" spans="7:7" ht="12.75" x14ac:dyDescent="0.2">
      <c r="G386" s="84"/>
    </row>
    <row r="387" spans="7:7" ht="12.75" x14ac:dyDescent="0.2">
      <c r="G387" s="84"/>
    </row>
    <row r="388" spans="7:7" ht="12.75" x14ac:dyDescent="0.2">
      <c r="G388" s="84"/>
    </row>
    <row r="389" spans="7:7" ht="12.75" x14ac:dyDescent="0.2">
      <c r="G389" s="84"/>
    </row>
    <row r="390" spans="7:7" ht="12.75" x14ac:dyDescent="0.2">
      <c r="G390" s="84"/>
    </row>
    <row r="391" spans="7:7" ht="12.75" x14ac:dyDescent="0.2">
      <c r="G391" s="84"/>
    </row>
    <row r="392" spans="7:7" ht="12.75" x14ac:dyDescent="0.2">
      <c r="G392" s="84"/>
    </row>
    <row r="393" spans="7:7" ht="12.75" x14ac:dyDescent="0.2">
      <c r="G393" s="84"/>
    </row>
    <row r="394" spans="7:7" ht="12.75" x14ac:dyDescent="0.2">
      <c r="G394" s="84"/>
    </row>
    <row r="395" spans="7:7" ht="12.75" x14ac:dyDescent="0.2">
      <c r="G395" s="84"/>
    </row>
    <row r="396" spans="7:7" ht="12.75" x14ac:dyDescent="0.2">
      <c r="G396" s="84"/>
    </row>
    <row r="397" spans="7:7" ht="12.75" x14ac:dyDescent="0.2">
      <c r="G397" s="84"/>
    </row>
    <row r="398" spans="7:7" ht="12.75" x14ac:dyDescent="0.2">
      <c r="G398" s="84"/>
    </row>
    <row r="399" spans="7:7" ht="12.75" x14ac:dyDescent="0.2">
      <c r="G399" s="84"/>
    </row>
    <row r="400" spans="7:7" ht="12.75" x14ac:dyDescent="0.2">
      <c r="G400" s="84"/>
    </row>
    <row r="401" spans="7:7" ht="12.75" x14ac:dyDescent="0.2">
      <c r="G401" s="84"/>
    </row>
    <row r="402" spans="7:7" ht="12.75" x14ac:dyDescent="0.2">
      <c r="G402" s="84"/>
    </row>
    <row r="403" spans="7:7" ht="12.75" x14ac:dyDescent="0.2">
      <c r="G403" s="84"/>
    </row>
    <row r="404" spans="7:7" ht="12.75" x14ac:dyDescent="0.2">
      <c r="G404" s="84"/>
    </row>
    <row r="405" spans="7:7" ht="12.75" x14ac:dyDescent="0.2">
      <c r="G405" s="84"/>
    </row>
    <row r="406" spans="7:7" ht="12.75" x14ac:dyDescent="0.2">
      <c r="G406" s="84"/>
    </row>
    <row r="407" spans="7:7" ht="12.75" x14ac:dyDescent="0.2">
      <c r="G407" s="84"/>
    </row>
    <row r="408" spans="7:7" ht="12.75" x14ac:dyDescent="0.2">
      <c r="G408" s="84"/>
    </row>
    <row r="409" spans="7:7" ht="12.75" x14ac:dyDescent="0.2">
      <c r="G409" s="84"/>
    </row>
    <row r="410" spans="7:7" ht="12.75" x14ac:dyDescent="0.2">
      <c r="G410" s="84"/>
    </row>
    <row r="411" spans="7:7" ht="12.75" x14ac:dyDescent="0.2">
      <c r="G411" s="84"/>
    </row>
    <row r="412" spans="7:7" ht="12.75" x14ac:dyDescent="0.2">
      <c r="G412" s="84"/>
    </row>
    <row r="413" spans="7:7" ht="12.75" x14ac:dyDescent="0.2">
      <c r="G413" s="84"/>
    </row>
    <row r="414" spans="7:7" ht="12.75" x14ac:dyDescent="0.2">
      <c r="G414" s="84"/>
    </row>
    <row r="415" spans="7:7" ht="12.75" x14ac:dyDescent="0.2">
      <c r="G415" s="84"/>
    </row>
    <row r="416" spans="7:7" ht="12.75" x14ac:dyDescent="0.2">
      <c r="G416" s="84"/>
    </row>
    <row r="417" spans="7:7" ht="12.75" x14ac:dyDescent="0.2">
      <c r="G417" s="84"/>
    </row>
    <row r="418" spans="7:7" ht="12.75" x14ac:dyDescent="0.2">
      <c r="G418" s="84"/>
    </row>
    <row r="419" spans="7:7" ht="12.75" x14ac:dyDescent="0.2">
      <c r="G419" s="84"/>
    </row>
    <row r="420" spans="7:7" ht="12.75" x14ac:dyDescent="0.2">
      <c r="G420" s="84"/>
    </row>
    <row r="421" spans="7:7" ht="12.75" x14ac:dyDescent="0.2">
      <c r="G421" s="84"/>
    </row>
    <row r="422" spans="7:7" ht="12.75" x14ac:dyDescent="0.2">
      <c r="G422" s="84"/>
    </row>
    <row r="423" spans="7:7" ht="12.75" x14ac:dyDescent="0.2">
      <c r="G423" s="84"/>
    </row>
    <row r="424" spans="7:7" ht="12.75" x14ac:dyDescent="0.2">
      <c r="G424" s="84"/>
    </row>
    <row r="425" spans="7:7" ht="12.75" x14ac:dyDescent="0.2">
      <c r="G425" s="84"/>
    </row>
    <row r="426" spans="7:7" ht="12.75" x14ac:dyDescent="0.2">
      <c r="G426" s="84"/>
    </row>
    <row r="427" spans="7:7" ht="12.75" x14ac:dyDescent="0.2">
      <c r="G427" s="84"/>
    </row>
    <row r="428" spans="7:7" ht="12.75" x14ac:dyDescent="0.2">
      <c r="G428" s="84"/>
    </row>
    <row r="429" spans="7:7" ht="12.75" x14ac:dyDescent="0.2">
      <c r="G429" s="84"/>
    </row>
    <row r="430" spans="7:7" ht="12.75" x14ac:dyDescent="0.2">
      <c r="G430" s="84"/>
    </row>
    <row r="431" spans="7:7" ht="12.75" x14ac:dyDescent="0.2">
      <c r="G431" s="84"/>
    </row>
    <row r="432" spans="7:7" ht="12.75" x14ac:dyDescent="0.2">
      <c r="G432" s="84"/>
    </row>
    <row r="433" spans="7:7" ht="12.75" x14ac:dyDescent="0.2">
      <c r="G433" s="84"/>
    </row>
    <row r="434" spans="7:7" ht="12.75" x14ac:dyDescent="0.2">
      <c r="G434" s="84"/>
    </row>
    <row r="435" spans="7:7" ht="12.75" x14ac:dyDescent="0.2">
      <c r="G435" s="84"/>
    </row>
    <row r="436" spans="7:7" ht="12.75" x14ac:dyDescent="0.2">
      <c r="G436" s="84"/>
    </row>
    <row r="437" spans="7:7" ht="12.75" x14ac:dyDescent="0.2">
      <c r="G437" s="84"/>
    </row>
    <row r="438" spans="7:7" ht="12.75" x14ac:dyDescent="0.2">
      <c r="G438" s="84"/>
    </row>
    <row r="439" spans="7:7" ht="12.75" x14ac:dyDescent="0.2">
      <c r="G439" s="84"/>
    </row>
    <row r="440" spans="7:7" ht="12.75" x14ac:dyDescent="0.2">
      <c r="G440" s="84"/>
    </row>
    <row r="441" spans="7:7" ht="12.75" x14ac:dyDescent="0.2">
      <c r="G441" s="84"/>
    </row>
    <row r="442" spans="7:7" ht="12.75" x14ac:dyDescent="0.2">
      <c r="G442" s="84"/>
    </row>
    <row r="443" spans="7:7" ht="12.75" x14ac:dyDescent="0.2">
      <c r="G443" s="84"/>
    </row>
    <row r="444" spans="7:7" ht="12.75" x14ac:dyDescent="0.2">
      <c r="G444" s="84"/>
    </row>
    <row r="445" spans="7:7" ht="12.75" x14ac:dyDescent="0.2">
      <c r="G445" s="84"/>
    </row>
    <row r="446" spans="7:7" ht="12.75" x14ac:dyDescent="0.2">
      <c r="G446" s="84"/>
    </row>
    <row r="447" spans="7:7" ht="12.75" x14ac:dyDescent="0.2">
      <c r="G447" s="84"/>
    </row>
    <row r="448" spans="7:7" ht="12.75" x14ac:dyDescent="0.2">
      <c r="G448" s="84"/>
    </row>
    <row r="449" spans="7:7" ht="12.75" x14ac:dyDescent="0.2">
      <c r="G449" s="84"/>
    </row>
    <row r="450" spans="7:7" ht="12.75" x14ac:dyDescent="0.2">
      <c r="G450" s="84"/>
    </row>
    <row r="451" spans="7:7" ht="12.75" x14ac:dyDescent="0.2">
      <c r="G451" s="84"/>
    </row>
    <row r="452" spans="7:7" ht="12.75" x14ac:dyDescent="0.2">
      <c r="G452" s="84"/>
    </row>
    <row r="453" spans="7:7" ht="12.75" x14ac:dyDescent="0.2">
      <c r="G453" s="84"/>
    </row>
    <row r="454" spans="7:7" ht="12.75" x14ac:dyDescent="0.2">
      <c r="G454" s="84"/>
    </row>
    <row r="455" spans="7:7" ht="12.75" x14ac:dyDescent="0.2">
      <c r="G455" s="84"/>
    </row>
    <row r="456" spans="7:7" ht="12.75" x14ac:dyDescent="0.2">
      <c r="G456" s="84"/>
    </row>
    <row r="457" spans="7:7" ht="12.75" x14ac:dyDescent="0.2">
      <c r="G457" s="84"/>
    </row>
    <row r="458" spans="7:7" ht="12.75" x14ac:dyDescent="0.2">
      <c r="G458" s="84"/>
    </row>
    <row r="459" spans="7:7" ht="12.75" x14ac:dyDescent="0.2">
      <c r="G459" s="84"/>
    </row>
    <row r="460" spans="7:7" ht="12.75" x14ac:dyDescent="0.2">
      <c r="G460" s="84"/>
    </row>
    <row r="461" spans="7:7" ht="12.75" x14ac:dyDescent="0.2">
      <c r="G461" s="84"/>
    </row>
    <row r="462" spans="7:7" ht="12.75" x14ac:dyDescent="0.2">
      <c r="G462" s="84"/>
    </row>
    <row r="463" spans="7:7" ht="12.75" x14ac:dyDescent="0.2">
      <c r="G463" s="84"/>
    </row>
    <row r="464" spans="7:7" ht="12.75" x14ac:dyDescent="0.2">
      <c r="G464" s="84"/>
    </row>
    <row r="465" spans="7:7" ht="12.75" x14ac:dyDescent="0.2">
      <c r="G465" s="84"/>
    </row>
    <row r="466" spans="7:7" ht="12.75" x14ac:dyDescent="0.2">
      <c r="G466" s="84"/>
    </row>
    <row r="467" spans="7:7" ht="12.75" x14ac:dyDescent="0.2">
      <c r="G467" s="84"/>
    </row>
    <row r="468" spans="7:7" ht="12.75" x14ac:dyDescent="0.2">
      <c r="G468" s="84"/>
    </row>
    <row r="469" spans="7:7" ht="12.75" x14ac:dyDescent="0.2">
      <c r="G469" s="84"/>
    </row>
    <row r="470" spans="7:7" ht="12.75" x14ac:dyDescent="0.2">
      <c r="G470" s="84"/>
    </row>
    <row r="471" spans="7:7" ht="12.75" x14ac:dyDescent="0.2">
      <c r="G471" s="84"/>
    </row>
    <row r="472" spans="7:7" ht="12.75" x14ac:dyDescent="0.2">
      <c r="G472" s="84"/>
    </row>
    <row r="473" spans="7:7" ht="12.75" x14ac:dyDescent="0.2">
      <c r="G473" s="84"/>
    </row>
    <row r="474" spans="7:7" ht="12.75" x14ac:dyDescent="0.2">
      <c r="G474" s="84"/>
    </row>
    <row r="475" spans="7:7" ht="12.75" x14ac:dyDescent="0.2">
      <c r="G475" s="84"/>
    </row>
    <row r="476" spans="7:7" ht="12.75" x14ac:dyDescent="0.2">
      <c r="G476" s="84"/>
    </row>
    <row r="477" spans="7:7" ht="12.75" x14ac:dyDescent="0.2">
      <c r="G477" s="84"/>
    </row>
    <row r="478" spans="7:7" ht="12.75" x14ac:dyDescent="0.2">
      <c r="G478" s="84"/>
    </row>
    <row r="479" spans="7:7" ht="12.75" x14ac:dyDescent="0.2">
      <c r="G479" s="84"/>
    </row>
    <row r="480" spans="7:7" ht="12.75" x14ac:dyDescent="0.2">
      <c r="G480" s="84"/>
    </row>
    <row r="481" spans="7:7" ht="12.75" x14ac:dyDescent="0.2">
      <c r="G481" s="84"/>
    </row>
    <row r="482" spans="7:7" ht="12.75" x14ac:dyDescent="0.2">
      <c r="G482" s="84"/>
    </row>
    <row r="483" spans="7:7" ht="12.75" x14ac:dyDescent="0.2">
      <c r="G483" s="84"/>
    </row>
    <row r="484" spans="7:7" ht="12.75" x14ac:dyDescent="0.2">
      <c r="G484" s="84"/>
    </row>
    <row r="485" spans="7:7" ht="12.75" x14ac:dyDescent="0.2">
      <c r="G485" s="84"/>
    </row>
    <row r="486" spans="7:7" ht="12.75" x14ac:dyDescent="0.2">
      <c r="G486" s="84"/>
    </row>
    <row r="487" spans="7:7" ht="12.75" x14ac:dyDescent="0.2">
      <c r="G487" s="84"/>
    </row>
    <row r="488" spans="7:7" ht="12.75" x14ac:dyDescent="0.2">
      <c r="G488" s="84"/>
    </row>
    <row r="489" spans="7:7" ht="12.75" x14ac:dyDescent="0.2">
      <c r="G489" s="84"/>
    </row>
    <row r="490" spans="7:7" ht="12.75" x14ac:dyDescent="0.2">
      <c r="G490" s="84"/>
    </row>
    <row r="491" spans="7:7" ht="12.75" x14ac:dyDescent="0.2">
      <c r="G491" s="84"/>
    </row>
    <row r="492" spans="7:7" ht="12.75" x14ac:dyDescent="0.2">
      <c r="G492" s="84"/>
    </row>
    <row r="493" spans="7:7" ht="12.75" x14ac:dyDescent="0.2">
      <c r="G493" s="84"/>
    </row>
    <row r="494" spans="7:7" ht="12.75" x14ac:dyDescent="0.2">
      <c r="G494" s="84"/>
    </row>
    <row r="495" spans="7:7" ht="12.75" x14ac:dyDescent="0.2">
      <c r="G495" s="84"/>
    </row>
    <row r="496" spans="7:7" ht="12.75" x14ac:dyDescent="0.2">
      <c r="G496" s="84"/>
    </row>
    <row r="497" spans="7:7" ht="12.75" x14ac:dyDescent="0.2">
      <c r="G497" s="84"/>
    </row>
    <row r="498" spans="7:7" ht="12.75" x14ac:dyDescent="0.2">
      <c r="G498" s="84"/>
    </row>
    <row r="499" spans="7:7" ht="12.75" x14ac:dyDescent="0.2">
      <c r="G499" s="84"/>
    </row>
    <row r="500" spans="7:7" ht="12.75" x14ac:dyDescent="0.2">
      <c r="G500" s="84"/>
    </row>
    <row r="501" spans="7:7" ht="12.75" x14ac:dyDescent="0.2">
      <c r="G501" s="84"/>
    </row>
    <row r="502" spans="7:7" ht="12.75" x14ac:dyDescent="0.2">
      <c r="G502" s="84"/>
    </row>
    <row r="503" spans="7:7" ht="12.75" x14ac:dyDescent="0.2">
      <c r="G503" s="84"/>
    </row>
    <row r="504" spans="7:7" ht="12.75" x14ac:dyDescent="0.2">
      <c r="G504" s="84"/>
    </row>
    <row r="505" spans="7:7" ht="12.75" x14ac:dyDescent="0.2">
      <c r="G505" s="84"/>
    </row>
    <row r="506" spans="7:7" ht="12.75" x14ac:dyDescent="0.2">
      <c r="G506" s="84"/>
    </row>
    <row r="507" spans="7:7" ht="12.75" x14ac:dyDescent="0.2">
      <c r="G507" s="84"/>
    </row>
    <row r="508" spans="7:7" ht="12.75" x14ac:dyDescent="0.2">
      <c r="G508" s="84"/>
    </row>
    <row r="509" spans="7:7" ht="12.75" x14ac:dyDescent="0.2">
      <c r="G509" s="84"/>
    </row>
    <row r="510" spans="7:7" ht="12.75" x14ac:dyDescent="0.2">
      <c r="G510" s="84"/>
    </row>
    <row r="511" spans="7:7" ht="12.75" x14ac:dyDescent="0.2">
      <c r="G511" s="84"/>
    </row>
    <row r="512" spans="7:7" ht="12.75" x14ac:dyDescent="0.2">
      <c r="G512" s="84"/>
    </row>
    <row r="513" spans="7:7" ht="12.75" x14ac:dyDescent="0.2">
      <c r="G513" s="84"/>
    </row>
    <row r="514" spans="7:7" ht="12.75" x14ac:dyDescent="0.2">
      <c r="G514" s="84"/>
    </row>
    <row r="515" spans="7:7" ht="12.75" x14ac:dyDescent="0.2">
      <c r="G515" s="84"/>
    </row>
    <row r="516" spans="7:7" ht="12.75" x14ac:dyDescent="0.2">
      <c r="G516" s="84"/>
    </row>
    <row r="517" spans="7:7" ht="12.75" x14ac:dyDescent="0.2">
      <c r="G517" s="84"/>
    </row>
    <row r="518" spans="7:7" ht="12.75" x14ac:dyDescent="0.2">
      <c r="G518" s="84"/>
    </row>
    <row r="519" spans="7:7" ht="12.75" x14ac:dyDescent="0.2">
      <c r="G519" s="84"/>
    </row>
    <row r="520" spans="7:7" ht="12.75" x14ac:dyDescent="0.2">
      <c r="G520" s="84"/>
    </row>
    <row r="521" spans="7:7" ht="12.75" x14ac:dyDescent="0.2">
      <c r="G521" s="84"/>
    </row>
    <row r="522" spans="7:7" ht="12.75" x14ac:dyDescent="0.2">
      <c r="G522" s="84"/>
    </row>
    <row r="523" spans="7:7" ht="12.75" x14ac:dyDescent="0.2">
      <c r="G523" s="84"/>
    </row>
    <row r="524" spans="7:7" ht="12.75" x14ac:dyDescent="0.2">
      <c r="G524" s="84"/>
    </row>
    <row r="525" spans="7:7" ht="12.75" x14ac:dyDescent="0.2">
      <c r="G525" s="84"/>
    </row>
    <row r="526" spans="7:7" ht="12.75" x14ac:dyDescent="0.2">
      <c r="G526" s="84"/>
    </row>
    <row r="527" spans="7:7" ht="12.75" x14ac:dyDescent="0.2">
      <c r="G527" s="84"/>
    </row>
    <row r="528" spans="7:7" ht="12.75" x14ac:dyDescent="0.2">
      <c r="G528" s="84"/>
    </row>
    <row r="529" spans="7:7" ht="12.75" x14ac:dyDescent="0.2">
      <c r="G529" s="84"/>
    </row>
    <row r="530" spans="7:7" ht="12.75" x14ac:dyDescent="0.2">
      <c r="G530" s="84"/>
    </row>
    <row r="531" spans="7:7" ht="12.75" x14ac:dyDescent="0.2">
      <c r="G531" s="84"/>
    </row>
    <row r="532" spans="7:7" ht="12.75" x14ac:dyDescent="0.2">
      <c r="G532" s="84"/>
    </row>
    <row r="533" spans="7:7" ht="12.75" x14ac:dyDescent="0.2">
      <c r="G533" s="84"/>
    </row>
    <row r="534" spans="7:7" ht="12.75" x14ac:dyDescent="0.2">
      <c r="G534" s="84"/>
    </row>
    <row r="535" spans="7:7" ht="12.75" x14ac:dyDescent="0.2">
      <c r="G535" s="84"/>
    </row>
    <row r="536" spans="7:7" ht="12.75" x14ac:dyDescent="0.2">
      <c r="G536" s="84"/>
    </row>
    <row r="537" spans="7:7" ht="12.75" x14ac:dyDescent="0.2">
      <c r="G537" s="84"/>
    </row>
    <row r="538" spans="7:7" ht="12.75" x14ac:dyDescent="0.2">
      <c r="G538" s="84"/>
    </row>
    <row r="539" spans="7:7" ht="12.75" x14ac:dyDescent="0.2">
      <c r="G539" s="84"/>
    </row>
    <row r="540" spans="7:7" ht="12.75" x14ac:dyDescent="0.2">
      <c r="G540" s="84"/>
    </row>
    <row r="541" spans="7:7" ht="12.75" x14ac:dyDescent="0.2">
      <c r="G541" s="84"/>
    </row>
    <row r="542" spans="7:7" ht="12.75" x14ac:dyDescent="0.2">
      <c r="G542" s="84"/>
    </row>
    <row r="543" spans="7:7" ht="12.75" x14ac:dyDescent="0.2">
      <c r="G543" s="84"/>
    </row>
    <row r="544" spans="7:7" ht="12.75" x14ac:dyDescent="0.2">
      <c r="G544" s="84"/>
    </row>
    <row r="545" spans="7:7" ht="12.75" x14ac:dyDescent="0.2">
      <c r="G545" s="84"/>
    </row>
    <row r="546" spans="7:7" ht="12.75" x14ac:dyDescent="0.2">
      <c r="G546" s="84"/>
    </row>
    <row r="547" spans="7:7" ht="12.75" x14ac:dyDescent="0.2">
      <c r="G547" s="84"/>
    </row>
    <row r="548" spans="7:7" ht="12.75" x14ac:dyDescent="0.2">
      <c r="G548" s="84"/>
    </row>
    <row r="549" spans="7:7" ht="12.75" x14ac:dyDescent="0.2">
      <c r="G549" s="84"/>
    </row>
    <row r="550" spans="7:7" ht="12.75" x14ac:dyDescent="0.2">
      <c r="G550" s="84"/>
    </row>
    <row r="551" spans="7:7" ht="12.75" x14ac:dyDescent="0.2">
      <c r="G551" s="84"/>
    </row>
    <row r="552" spans="7:7" ht="12.75" x14ac:dyDescent="0.2">
      <c r="G552" s="84"/>
    </row>
    <row r="553" spans="7:7" ht="12.75" x14ac:dyDescent="0.2">
      <c r="G553" s="84"/>
    </row>
    <row r="554" spans="7:7" ht="12.75" x14ac:dyDescent="0.2">
      <c r="G554" s="84"/>
    </row>
    <row r="555" spans="7:7" ht="12.75" x14ac:dyDescent="0.2">
      <c r="G555" s="84"/>
    </row>
    <row r="556" spans="7:7" ht="12.75" x14ac:dyDescent="0.2">
      <c r="G556" s="84"/>
    </row>
    <row r="557" spans="7:7" ht="12.75" x14ac:dyDescent="0.2">
      <c r="G557" s="84"/>
    </row>
    <row r="558" spans="7:7" ht="12.75" x14ac:dyDescent="0.2">
      <c r="G558" s="84"/>
    </row>
    <row r="559" spans="7:7" ht="12.75" x14ac:dyDescent="0.2">
      <c r="G559" s="84"/>
    </row>
    <row r="560" spans="7:7" ht="12.75" x14ac:dyDescent="0.2">
      <c r="G560" s="84"/>
    </row>
    <row r="561" spans="7:7" ht="12.75" x14ac:dyDescent="0.2">
      <c r="G561" s="84"/>
    </row>
    <row r="562" spans="7:7" ht="12.75" x14ac:dyDescent="0.2">
      <c r="G562" s="84"/>
    </row>
    <row r="563" spans="7:7" ht="12.75" x14ac:dyDescent="0.2">
      <c r="G563" s="84"/>
    </row>
    <row r="564" spans="7:7" ht="12.75" x14ac:dyDescent="0.2">
      <c r="G564" s="84"/>
    </row>
    <row r="565" spans="7:7" ht="12.75" x14ac:dyDescent="0.2">
      <c r="G565" s="84"/>
    </row>
    <row r="566" spans="7:7" ht="12.75" x14ac:dyDescent="0.2">
      <c r="G566" s="84"/>
    </row>
    <row r="567" spans="7:7" ht="12.75" x14ac:dyDescent="0.2">
      <c r="G567" s="84"/>
    </row>
    <row r="568" spans="7:7" ht="12.75" x14ac:dyDescent="0.2">
      <c r="G568" s="84"/>
    </row>
    <row r="569" spans="7:7" ht="12.75" x14ac:dyDescent="0.2">
      <c r="G569" s="84"/>
    </row>
    <row r="570" spans="7:7" ht="12.75" x14ac:dyDescent="0.2">
      <c r="G570" s="84"/>
    </row>
    <row r="571" spans="7:7" ht="12.75" x14ac:dyDescent="0.2">
      <c r="G571" s="84"/>
    </row>
    <row r="572" spans="7:7" ht="12.75" x14ac:dyDescent="0.2">
      <c r="G572" s="84"/>
    </row>
    <row r="573" spans="7:7" ht="12.75" x14ac:dyDescent="0.2">
      <c r="G573" s="84"/>
    </row>
    <row r="574" spans="7:7" ht="12.75" x14ac:dyDescent="0.2">
      <c r="G574" s="84"/>
    </row>
    <row r="575" spans="7:7" ht="12.75" x14ac:dyDescent="0.2">
      <c r="G575" s="84"/>
    </row>
    <row r="576" spans="7:7" ht="12.75" x14ac:dyDescent="0.2">
      <c r="G576" s="84"/>
    </row>
    <row r="577" spans="7:7" ht="12.75" x14ac:dyDescent="0.2">
      <c r="G577" s="84"/>
    </row>
    <row r="578" spans="7:7" ht="12.75" x14ac:dyDescent="0.2">
      <c r="G578" s="84"/>
    </row>
    <row r="579" spans="7:7" ht="12.75" x14ac:dyDescent="0.2">
      <c r="G579" s="84"/>
    </row>
    <row r="580" spans="7:7" ht="12.75" x14ac:dyDescent="0.2">
      <c r="G580" s="84"/>
    </row>
    <row r="581" spans="7:7" ht="12.75" x14ac:dyDescent="0.2">
      <c r="G581" s="84"/>
    </row>
    <row r="582" spans="7:7" ht="12.75" x14ac:dyDescent="0.2">
      <c r="G582" s="84"/>
    </row>
    <row r="583" spans="7:7" ht="12.75" x14ac:dyDescent="0.2">
      <c r="G583" s="84"/>
    </row>
    <row r="584" spans="7:7" ht="12.75" x14ac:dyDescent="0.2">
      <c r="G584" s="84"/>
    </row>
    <row r="585" spans="7:7" ht="12.75" x14ac:dyDescent="0.2">
      <c r="G585" s="84"/>
    </row>
    <row r="586" spans="7:7" ht="12.75" x14ac:dyDescent="0.2">
      <c r="G586" s="84"/>
    </row>
    <row r="587" spans="7:7" ht="12.75" x14ac:dyDescent="0.2">
      <c r="G587" s="84"/>
    </row>
    <row r="588" spans="7:7" ht="12.75" x14ac:dyDescent="0.2">
      <c r="G588" s="84"/>
    </row>
    <row r="589" spans="7:7" ht="12.75" x14ac:dyDescent="0.2">
      <c r="G589" s="84"/>
    </row>
    <row r="590" spans="7:7" ht="12.75" x14ac:dyDescent="0.2">
      <c r="G590" s="84"/>
    </row>
    <row r="591" spans="7:7" ht="12.75" x14ac:dyDescent="0.2">
      <c r="G591" s="84"/>
    </row>
    <row r="592" spans="7:7" ht="12.75" x14ac:dyDescent="0.2">
      <c r="G592" s="84"/>
    </row>
    <row r="593" spans="7:7" ht="12.75" x14ac:dyDescent="0.2">
      <c r="G593" s="84"/>
    </row>
    <row r="594" spans="7:7" ht="12.75" x14ac:dyDescent="0.2">
      <c r="G594" s="84"/>
    </row>
    <row r="595" spans="7:7" ht="12.75" x14ac:dyDescent="0.2">
      <c r="G595" s="84"/>
    </row>
    <row r="596" spans="7:7" ht="12.75" x14ac:dyDescent="0.2">
      <c r="G596" s="84"/>
    </row>
    <row r="597" spans="7:7" ht="12.75" x14ac:dyDescent="0.2">
      <c r="G597" s="84"/>
    </row>
    <row r="598" spans="7:7" ht="12.75" x14ac:dyDescent="0.2">
      <c r="G598" s="84"/>
    </row>
    <row r="599" spans="7:7" ht="12.75" x14ac:dyDescent="0.2">
      <c r="G599" s="84"/>
    </row>
    <row r="600" spans="7:7" ht="12.75" x14ac:dyDescent="0.2">
      <c r="G600" s="84"/>
    </row>
    <row r="601" spans="7:7" ht="12.75" x14ac:dyDescent="0.2">
      <c r="G601" s="84"/>
    </row>
    <row r="602" spans="7:7" ht="12.75" x14ac:dyDescent="0.2">
      <c r="G602" s="84"/>
    </row>
    <row r="603" spans="7:7" ht="12.75" x14ac:dyDescent="0.2">
      <c r="G603" s="84"/>
    </row>
    <row r="604" spans="7:7" ht="12.75" x14ac:dyDescent="0.2">
      <c r="G604" s="84"/>
    </row>
    <row r="605" spans="7:7" ht="12.75" x14ac:dyDescent="0.2">
      <c r="G605" s="84"/>
    </row>
    <row r="606" spans="7:7" ht="12.75" x14ac:dyDescent="0.2">
      <c r="G606" s="84"/>
    </row>
    <row r="607" spans="7:7" ht="12.75" x14ac:dyDescent="0.2">
      <c r="G607" s="84"/>
    </row>
    <row r="608" spans="7:7" ht="12.75" x14ac:dyDescent="0.2">
      <c r="G608" s="84"/>
    </row>
    <row r="609" spans="7:7" ht="12.75" x14ac:dyDescent="0.2">
      <c r="G609" s="84"/>
    </row>
    <row r="610" spans="7:7" ht="12.75" x14ac:dyDescent="0.2">
      <c r="G610" s="84"/>
    </row>
    <row r="611" spans="7:7" ht="12.75" x14ac:dyDescent="0.2">
      <c r="G611" s="84"/>
    </row>
    <row r="612" spans="7:7" ht="12.75" x14ac:dyDescent="0.2">
      <c r="G612" s="84"/>
    </row>
    <row r="613" spans="7:7" ht="12.75" x14ac:dyDescent="0.2">
      <c r="G613" s="84"/>
    </row>
    <row r="614" spans="7:7" ht="12.75" x14ac:dyDescent="0.2">
      <c r="G614" s="84"/>
    </row>
    <row r="615" spans="7:7" ht="12.75" x14ac:dyDescent="0.2">
      <c r="G615" s="84"/>
    </row>
    <row r="616" spans="7:7" ht="12.75" x14ac:dyDescent="0.2">
      <c r="G616" s="84"/>
    </row>
    <row r="617" spans="7:7" ht="12.75" x14ac:dyDescent="0.2">
      <c r="G617" s="84"/>
    </row>
    <row r="618" spans="7:7" ht="12.75" x14ac:dyDescent="0.2">
      <c r="G618" s="84"/>
    </row>
    <row r="619" spans="7:7" ht="12.75" x14ac:dyDescent="0.2">
      <c r="G619" s="84"/>
    </row>
    <row r="620" spans="7:7" ht="12.75" x14ac:dyDescent="0.2">
      <c r="G620" s="84"/>
    </row>
    <row r="621" spans="7:7" ht="12.75" x14ac:dyDescent="0.2">
      <c r="G621" s="84"/>
    </row>
    <row r="622" spans="7:7" ht="12.75" x14ac:dyDescent="0.2">
      <c r="G622" s="84"/>
    </row>
    <row r="623" spans="7:7" ht="12.75" x14ac:dyDescent="0.2">
      <c r="G623" s="84"/>
    </row>
    <row r="624" spans="7:7" ht="12.75" x14ac:dyDescent="0.2">
      <c r="G624" s="84"/>
    </row>
    <row r="625" spans="7:7" ht="12.75" x14ac:dyDescent="0.2">
      <c r="G625" s="84"/>
    </row>
    <row r="626" spans="7:7" ht="12.75" x14ac:dyDescent="0.2">
      <c r="G626" s="84"/>
    </row>
    <row r="627" spans="7:7" ht="12.75" x14ac:dyDescent="0.2">
      <c r="G627" s="84"/>
    </row>
    <row r="628" spans="7:7" ht="12.75" x14ac:dyDescent="0.2">
      <c r="G628" s="84"/>
    </row>
    <row r="629" spans="7:7" ht="12.75" x14ac:dyDescent="0.2">
      <c r="G629" s="84"/>
    </row>
    <row r="630" spans="7:7" ht="12.75" x14ac:dyDescent="0.2">
      <c r="G630" s="84"/>
    </row>
    <row r="631" spans="7:7" ht="12.75" x14ac:dyDescent="0.2">
      <c r="G631" s="84"/>
    </row>
    <row r="632" spans="7:7" ht="12.75" x14ac:dyDescent="0.2">
      <c r="G632" s="84"/>
    </row>
    <row r="633" spans="7:7" ht="12.75" x14ac:dyDescent="0.2">
      <c r="G633" s="84"/>
    </row>
    <row r="634" spans="7:7" ht="12.75" x14ac:dyDescent="0.2">
      <c r="G634" s="84"/>
    </row>
    <row r="635" spans="7:7" ht="12.75" x14ac:dyDescent="0.2">
      <c r="G635" s="84"/>
    </row>
    <row r="636" spans="7:7" ht="12.75" x14ac:dyDescent="0.2">
      <c r="G636" s="84"/>
    </row>
    <row r="637" spans="7:7" ht="12.75" x14ac:dyDescent="0.2">
      <c r="G637" s="84"/>
    </row>
    <row r="638" spans="7:7" ht="12.75" x14ac:dyDescent="0.2">
      <c r="G638" s="84"/>
    </row>
    <row r="639" spans="7:7" ht="12.75" x14ac:dyDescent="0.2">
      <c r="G639" s="84"/>
    </row>
    <row r="640" spans="7:7" ht="12.75" x14ac:dyDescent="0.2">
      <c r="G640" s="84"/>
    </row>
    <row r="641" spans="7:7" ht="12.75" x14ac:dyDescent="0.2">
      <c r="G641" s="84"/>
    </row>
    <row r="642" spans="7:7" ht="12.75" x14ac:dyDescent="0.2">
      <c r="G642" s="84"/>
    </row>
    <row r="643" spans="7:7" ht="12.75" x14ac:dyDescent="0.2">
      <c r="G643" s="84"/>
    </row>
    <row r="644" spans="7:7" ht="12.75" x14ac:dyDescent="0.2">
      <c r="G644" s="84"/>
    </row>
    <row r="645" spans="7:7" ht="12.75" x14ac:dyDescent="0.2">
      <c r="G645" s="84"/>
    </row>
    <row r="646" spans="7:7" ht="12.75" x14ac:dyDescent="0.2">
      <c r="G646" s="84"/>
    </row>
    <row r="647" spans="7:7" ht="12.75" x14ac:dyDescent="0.2">
      <c r="G647" s="84"/>
    </row>
    <row r="648" spans="7:7" ht="12.75" x14ac:dyDescent="0.2">
      <c r="G648" s="84"/>
    </row>
    <row r="649" spans="7:7" ht="12.75" x14ac:dyDescent="0.2">
      <c r="G649" s="84"/>
    </row>
    <row r="650" spans="7:7" ht="12.75" x14ac:dyDescent="0.2">
      <c r="G650" s="84"/>
    </row>
    <row r="651" spans="7:7" ht="12.75" x14ac:dyDescent="0.2">
      <c r="G651" s="84"/>
    </row>
    <row r="652" spans="7:7" ht="12.75" x14ac:dyDescent="0.2">
      <c r="G652" s="84"/>
    </row>
    <row r="653" spans="7:7" ht="12.75" x14ac:dyDescent="0.2">
      <c r="G653" s="84"/>
    </row>
    <row r="654" spans="7:7" ht="12.75" x14ac:dyDescent="0.2">
      <c r="G654" s="84"/>
    </row>
    <row r="655" spans="7:7" ht="12.75" x14ac:dyDescent="0.2">
      <c r="G655" s="84"/>
    </row>
    <row r="656" spans="7:7" ht="12.75" x14ac:dyDescent="0.2">
      <c r="G656" s="84"/>
    </row>
    <row r="657" spans="7:7" ht="12.75" x14ac:dyDescent="0.2">
      <c r="G657" s="84"/>
    </row>
    <row r="658" spans="7:7" ht="12.75" x14ac:dyDescent="0.2">
      <c r="G658" s="84"/>
    </row>
    <row r="659" spans="7:7" ht="12.75" x14ac:dyDescent="0.2">
      <c r="G659" s="84"/>
    </row>
    <row r="660" spans="7:7" ht="12.75" x14ac:dyDescent="0.2">
      <c r="G660" s="84"/>
    </row>
    <row r="661" spans="7:7" ht="12.75" x14ac:dyDescent="0.2">
      <c r="G661" s="84"/>
    </row>
    <row r="662" spans="7:7" ht="12.75" x14ac:dyDescent="0.2">
      <c r="G662" s="84"/>
    </row>
    <row r="663" spans="7:7" ht="12.75" x14ac:dyDescent="0.2">
      <c r="G663" s="84"/>
    </row>
    <row r="664" spans="7:7" ht="12.75" x14ac:dyDescent="0.2">
      <c r="G664" s="84"/>
    </row>
    <row r="665" spans="7:7" ht="12.75" x14ac:dyDescent="0.2">
      <c r="G665" s="84"/>
    </row>
    <row r="666" spans="7:7" ht="12.75" x14ac:dyDescent="0.2">
      <c r="G666" s="84"/>
    </row>
    <row r="667" spans="7:7" ht="12.75" x14ac:dyDescent="0.2">
      <c r="G667" s="84"/>
    </row>
    <row r="668" spans="7:7" ht="12.75" x14ac:dyDescent="0.2">
      <c r="G668" s="84"/>
    </row>
    <row r="669" spans="7:7" ht="12.75" x14ac:dyDescent="0.2">
      <c r="G669" s="84"/>
    </row>
    <row r="670" spans="7:7" ht="12.75" x14ac:dyDescent="0.2">
      <c r="G670" s="84"/>
    </row>
    <row r="671" spans="7:7" ht="12.75" x14ac:dyDescent="0.2">
      <c r="G671" s="84"/>
    </row>
    <row r="672" spans="7:7" ht="12.75" x14ac:dyDescent="0.2">
      <c r="G672" s="84"/>
    </row>
    <row r="673" spans="7:7" ht="12.75" x14ac:dyDescent="0.2">
      <c r="G673" s="84"/>
    </row>
    <row r="674" spans="7:7" ht="12.75" x14ac:dyDescent="0.2">
      <c r="G674" s="84"/>
    </row>
    <row r="675" spans="7:7" ht="12.75" x14ac:dyDescent="0.2">
      <c r="G675" s="84"/>
    </row>
    <row r="676" spans="7:7" ht="12.75" x14ac:dyDescent="0.2">
      <c r="G676" s="84"/>
    </row>
    <row r="677" spans="7:7" ht="12.75" x14ac:dyDescent="0.2">
      <c r="G677" s="84"/>
    </row>
    <row r="678" spans="7:7" ht="12.75" x14ac:dyDescent="0.2">
      <c r="G678" s="84"/>
    </row>
    <row r="679" spans="7:7" ht="12.75" x14ac:dyDescent="0.2">
      <c r="G679" s="84"/>
    </row>
    <row r="680" spans="7:7" ht="12.75" x14ac:dyDescent="0.2">
      <c r="G680" s="84"/>
    </row>
    <row r="681" spans="7:7" ht="12.75" x14ac:dyDescent="0.2">
      <c r="G681" s="84"/>
    </row>
    <row r="682" spans="7:7" ht="12.75" x14ac:dyDescent="0.2">
      <c r="G682" s="84"/>
    </row>
    <row r="683" spans="7:7" ht="12.75" x14ac:dyDescent="0.2">
      <c r="G683" s="84"/>
    </row>
    <row r="684" spans="7:7" ht="12.75" x14ac:dyDescent="0.2">
      <c r="G684" s="84"/>
    </row>
    <row r="685" spans="7:7" ht="12.75" x14ac:dyDescent="0.2">
      <c r="G685" s="84"/>
    </row>
    <row r="686" spans="7:7" ht="12.75" x14ac:dyDescent="0.2">
      <c r="G686" s="84"/>
    </row>
    <row r="687" spans="7:7" ht="12.75" x14ac:dyDescent="0.2">
      <c r="G687" s="84"/>
    </row>
    <row r="688" spans="7:7" ht="12.75" x14ac:dyDescent="0.2">
      <c r="G688" s="84"/>
    </row>
    <row r="689" spans="7:7" ht="12.75" x14ac:dyDescent="0.2">
      <c r="G689" s="84"/>
    </row>
    <row r="690" spans="7:7" ht="12.75" x14ac:dyDescent="0.2">
      <c r="G690" s="84"/>
    </row>
    <row r="691" spans="7:7" ht="12.75" x14ac:dyDescent="0.2">
      <c r="G691" s="84"/>
    </row>
    <row r="692" spans="7:7" ht="12.75" x14ac:dyDescent="0.2">
      <c r="G692" s="84"/>
    </row>
    <row r="693" spans="7:7" ht="12.75" x14ac:dyDescent="0.2">
      <c r="G693" s="84"/>
    </row>
    <row r="694" spans="7:7" ht="12.75" x14ac:dyDescent="0.2">
      <c r="G694" s="84"/>
    </row>
    <row r="695" spans="7:7" ht="12.75" x14ac:dyDescent="0.2">
      <c r="G695" s="84"/>
    </row>
    <row r="696" spans="7:7" ht="12.75" x14ac:dyDescent="0.2">
      <c r="G696" s="84"/>
    </row>
    <row r="697" spans="7:7" ht="12.75" x14ac:dyDescent="0.2">
      <c r="G697" s="84"/>
    </row>
    <row r="698" spans="7:7" ht="12.75" x14ac:dyDescent="0.2">
      <c r="G698" s="84"/>
    </row>
    <row r="699" spans="7:7" ht="12.75" x14ac:dyDescent="0.2">
      <c r="G699" s="84"/>
    </row>
    <row r="700" spans="7:7" ht="12.75" x14ac:dyDescent="0.2">
      <c r="G700" s="84"/>
    </row>
    <row r="701" spans="7:7" ht="12.75" x14ac:dyDescent="0.2">
      <c r="G701" s="84"/>
    </row>
    <row r="702" spans="7:7" ht="12.75" x14ac:dyDescent="0.2">
      <c r="G702" s="84"/>
    </row>
    <row r="703" spans="7:7" ht="12.75" x14ac:dyDescent="0.2">
      <c r="G703" s="84"/>
    </row>
    <row r="704" spans="7:7" ht="12.75" x14ac:dyDescent="0.2">
      <c r="G704" s="84"/>
    </row>
    <row r="705" spans="7:7" ht="12.75" x14ac:dyDescent="0.2">
      <c r="G705" s="84"/>
    </row>
    <row r="706" spans="7:7" ht="12.75" x14ac:dyDescent="0.2">
      <c r="G706" s="84"/>
    </row>
    <row r="707" spans="7:7" ht="12.75" x14ac:dyDescent="0.2">
      <c r="G707" s="84"/>
    </row>
    <row r="708" spans="7:7" ht="12.75" x14ac:dyDescent="0.2">
      <c r="G708" s="84"/>
    </row>
    <row r="709" spans="7:7" ht="12.75" x14ac:dyDescent="0.2">
      <c r="G709" s="84"/>
    </row>
    <row r="710" spans="7:7" ht="12.75" x14ac:dyDescent="0.2">
      <c r="G710" s="84"/>
    </row>
    <row r="711" spans="7:7" ht="12.75" x14ac:dyDescent="0.2">
      <c r="G711" s="84"/>
    </row>
    <row r="712" spans="7:7" ht="12.75" x14ac:dyDescent="0.2">
      <c r="G712" s="84"/>
    </row>
    <row r="713" spans="7:7" ht="12.75" x14ac:dyDescent="0.2">
      <c r="G713" s="84"/>
    </row>
    <row r="714" spans="7:7" ht="12.75" x14ac:dyDescent="0.2">
      <c r="G714" s="84"/>
    </row>
    <row r="715" spans="7:7" ht="12.75" x14ac:dyDescent="0.2">
      <c r="G715" s="84"/>
    </row>
    <row r="716" spans="7:7" ht="12.75" x14ac:dyDescent="0.2">
      <c r="G716" s="84"/>
    </row>
    <row r="717" spans="7:7" ht="12.75" x14ac:dyDescent="0.2">
      <c r="G717" s="84"/>
    </row>
    <row r="718" spans="7:7" ht="12.75" x14ac:dyDescent="0.2">
      <c r="G718" s="84"/>
    </row>
    <row r="719" spans="7:7" ht="12.75" x14ac:dyDescent="0.2">
      <c r="G719" s="84"/>
    </row>
    <row r="720" spans="7:7" ht="12.75" x14ac:dyDescent="0.2">
      <c r="G720" s="84"/>
    </row>
    <row r="721" spans="7:7" ht="12.75" x14ac:dyDescent="0.2">
      <c r="G721" s="84"/>
    </row>
    <row r="722" spans="7:7" ht="12.75" x14ac:dyDescent="0.2">
      <c r="G722" s="84"/>
    </row>
    <row r="723" spans="7:7" ht="12.75" x14ac:dyDescent="0.2">
      <c r="G723" s="84"/>
    </row>
    <row r="724" spans="7:7" ht="12.75" x14ac:dyDescent="0.2">
      <c r="G724" s="84"/>
    </row>
    <row r="725" spans="7:7" ht="12.75" x14ac:dyDescent="0.2">
      <c r="G725" s="84"/>
    </row>
    <row r="726" spans="7:7" ht="12.75" x14ac:dyDescent="0.2">
      <c r="G726" s="84"/>
    </row>
    <row r="727" spans="7:7" ht="12.75" x14ac:dyDescent="0.2">
      <c r="G727" s="84"/>
    </row>
    <row r="728" spans="7:7" ht="12.75" x14ac:dyDescent="0.2">
      <c r="G728" s="84"/>
    </row>
    <row r="729" spans="7:7" ht="12.75" x14ac:dyDescent="0.2">
      <c r="G729" s="84"/>
    </row>
    <row r="730" spans="7:7" ht="12.75" x14ac:dyDescent="0.2">
      <c r="G730" s="84"/>
    </row>
    <row r="731" spans="7:7" ht="12.75" x14ac:dyDescent="0.2">
      <c r="G731" s="84"/>
    </row>
    <row r="732" spans="7:7" ht="12.75" x14ac:dyDescent="0.2">
      <c r="G732" s="84"/>
    </row>
    <row r="733" spans="7:7" ht="12.75" x14ac:dyDescent="0.2">
      <c r="G733" s="84"/>
    </row>
    <row r="734" spans="7:7" ht="12.75" x14ac:dyDescent="0.2">
      <c r="G734" s="84"/>
    </row>
    <row r="735" spans="7:7" ht="12.75" x14ac:dyDescent="0.2">
      <c r="G735" s="84"/>
    </row>
    <row r="736" spans="7:7" ht="12.75" x14ac:dyDescent="0.2">
      <c r="G736" s="84"/>
    </row>
    <row r="737" spans="7:7" ht="12.75" x14ac:dyDescent="0.2">
      <c r="G737" s="84"/>
    </row>
    <row r="738" spans="7:7" ht="12.75" x14ac:dyDescent="0.2">
      <c r="G738" s="84"/>
    </row>
    <row r="739" spans="7:7" ht="12.75" x14ac:dyDescent="0.2">
      <c r="G739" s="84"/>
    </row>
    <row r="740" spans="7:7" ht="12.75" x14ac:dyDescent="0.2">
      <c r="G740" s="84"/>
    </row>
    <row r="741" spans="7:7" ht="12.75" x14ac:dyDescent="0.2">
      <c r="G741" s="84"/>
    </row>
    <row r="742" spans="7:7" ht="12.75" x14ac:dyDescent="0.2">
      <c r="G742" s="84"/>
    </row>
    <row r="743" spans="7:7" ht="12.75" x14ac:dyDescent="0.2">
      <c r="G743" s="84"/>
    </row>
    <row r="744" spans="7:7" ht="12.75" x14ac:dyDescent="0.2">
      <c r="G744" s="84"/>
    </row>
    <row r="745" spans="7:7" ht="12.75" x14ac:dyDescent="0.2">
      <c r="G745" s="84"/>
    </row>
    <row r="746" spans="7:7" ht="12.75" x14ac:dyDescent="0.2">
      <c r="G746" s="84"/>
    </row>
    <row r="747" spans="7:7" ht="12.75" x14ac:dyDescent="0.2">
      <c r="G747" s="84"/>
    </row>
    <row r="748" spans="7:7" ht="12.75" x14ac:dyDescent="0.2">
      <c r="G748" s="84"/>
    </row>
    <row r="749" spans="7:7" ht="12.75" x14ac:dyDescent="0.2">
      <c r="G749" s="84"/>
    </row>
    <row r="750" spans="7:7" ht="12.75" x14ac:dyDescent="0.2">
      <c r="G750" s="84"/>
    </row>
    <row r="751" spans="7:7" ht="12.75" x14ac:dyDescent="0.2">
      <c r="G751" s="84"/>
    </row>
    <row r="752" spans="7:7" ht="12.75" x14ac:dyDescent="0.2">
      <c r="G752" s="84"/>
    </row>
    <row r="753" spans="7:7" ht="12.75" x14ac:dyDescent="0.2">
      <c r="G753" s="84"/>
    </row>
    <row r="754" spans="7:7" ht="12.75" x14ac:dyDescent="0.2">
      <c r="G754" s="84"/>
    </row>
    <row r="755" spans="7:7" ht="12.75" x14ac:dyDescent="0.2">
      <c r="G755" s="84"/>
    </row>
    <row r="756" spans="7:7" ht="12.75" x14ac:dyDescent="0.2">
      <c r="G756" s="84"/>
    </row>
    <row r="757" spans="7:7" ht="12.75" x14ac:dyDescent="0.2">
      <c r="G757" s="84"/>
    </row>
    <row r="758" spans="7:7" ht="12.75" x14ac:dyDescent="0.2">
      <c r="G758" s="84"/>
    </row>
    <row r="759" spans="7:7" ht="12.75" x14ac:dyDescent="0.2">
      <c r="G759" s="84"/>
    </row>
    <row r="760" spans="7:7" ht="12.75" x14ac:dyDescent="0.2">
      <c r="G760" s="84"/>
    </row>
    <row r="761" spans="7:7" ht="12.75" x14ac:dyDescent="0.2">
      <c r="G761" s="84"/>
    </row>
    <row r="762" spans="7:7" ht="12.75" x14ac:dyDescent="0.2">
      <c r="G762" s="84"/>
    </row>
    <row r="763" spans="7:7" ht="12.75" x14ac:dyDescent="0.2">
      <c r="G763" s="84"/>
    </row>
    <row r="764" spans="7:7" ht="12.75" x14ac:dyDescent="0.2">
      <c r="G764" s="84"/>
    </row>
    <row r="765" spans="7:7" ht="12.75" x14ac:dyDescent="0.2">
      <c r="G765" s="84"/>
    </row>
    <row r="766" spans="7:7" ht="12.75" x14ac:dyDescent="0.2">
      <c r="G766" s="84"/>
    </row>
    <row r="767" spans="7:7" ht="12.75" x14ac:dyDescent="0.2">
      <c r="G767" s="84"/>
    </row>
    <row r="768" spans="7:7" ht="12.75" x14ac:dyDescent="0.2">
      <c r="G768" s="84"/>
    </row>
    <row r="769" spans="7:7" ht="12.75" x14ac:dyDescent="0.2">
      <c r="G769" s="84"/>
    </row>
    <row r="770" spans="7:7" ht="12.75" x14ac:dyDescent="0.2">
      <c r="G770" s="84"/>
    </row>
    <row r="771" spans="7:7" ht="12.75" x14ac:dyDescent="0.2">
      <c r="G771" s="84"/>
    </row>
    <row r="772" spans="7:7" ht="12.75" x14ac:dyDescent="0.2">
      <c r="G772" s="84"/>
    </row>
    <row r="773" spans="7:7" ht="12.75" x14ac:dyDescent="0.2">
      <c r="G773" s="84"/>
    </row>
    <row r="774" spans="7:7" ht="12.75" x14ac:dyDescent="0.2">
      <c r="G774" s="84"/>
    </row>
    <row r="775" spans="7:7" ht="12.75" x14ac:dyDescent="0.2">
      <c r="G775" s="84"/>
    </row>
    <row r="776" spans="7:7" ht="12.75" x14ac:dyDescent="0.2">
      <c r="G776" s="84"/>
    </row>
    <row r="777" spans="7:7" ht="12.75" x14ac:dyDescent="0.2">
      <c r="G777" s="84"/>
    </row>
    <row r="778" spans="7:7" ht="12.75" x14ac:dyDescent="0.2">
      <c r="G778" s="84"/>
    </row>
    <row r="779" spans="7:7" ht="12.75" x14ac:dyDescent="0.2">
      <c r="G779" s="84"/>
    </row>
    <row r="780" spans="7:7" ht="12.75" x14ac:dyDescent="0.2">
      <c r="G780" s="84"/>
    </row>
    <row r="781" spans="7:7" ht="12.75" x14ac:dyDescent="0.2">
      <c r="G781" s="84"/>
    </row>
    <row r="782" spans="7:7" ht="12.75" x14ac:dyDescent="0.2">
      <c r="G782" s="84"/>
    </row>
    <row r="783" spans="7:7" ht="12.75" x14ac:dyDescent="0.2">
      <c r="G783" s="84"/>
    </row>
    <row r="784" spans="7:7" ht="12.75" x14ac:dyDescent="0.2">
      <c r="G784" s="84"/>
    </row>
    <row r="785" spans="7:7" ht="12.75" x14ac:dyDescent="0.2">
      <c r="G785" s="84"/>
    </row>
    <row r="786" spans="7:7" ht="12.75" x14ac:dyDescent="0.2">
      <c r="G786" s="84"/>
    </row>
    <row r="787" spans="7:7" ht="12.75" x14ac:dyDescent="0.2">
      <c r="G787" s="84"/>
    </row>
    <row r="788" spans="7:7" ht="12.75" x14ac:dyDescent="0.2">
      <c r="G788" s="84"/>
    </row>
    <row r="789" spans="7:7" ht="12.75" x14ac:dyDescent="0.2">
      <c r="G789" s="84"/>
    </row>
    <row r="790" spans="7:7" ht="12.75" x14ac:dyDescent="0.2">
      <c r="G790" s="84"/>
    </row>
    <row r="791" spans="7:7" ht="12.75" x14ac:dyDescent="0.2">
      <c r="G791" s="84"/>
    </row>
    <row r="792" spans="7:7" ht="12.75" x14ac:dyDescent="0.2">
      <c r="G792" s="84"/>
    </row>
    <row r="793" spans="7:7" ht="12.75" x14ac:dyDescent="0.2">
      <c r="G793" s="84"/>
    </row>
    <row r="794" spans="7:7" ht="12.75" x14ac:dyDescent="0.2">
      <c r="G794" s="84"/>
    </row>
    <row r="795" spans="7:7" ht="12.75" x14ac:dyDescent="0.2">
      <c r="G795" s="84"/>
    </row>
    <row r="796" spans="7:7" ht="12.75" x14ac:dyDescent="0.2">
      <c r="G796" s="84"/>
    </row>
    <row r="797" spans="7:7" ht="12.75" x14ac:dyDescent="0.2">
      <c r="G797" s="84"/>
    </row>
    <row r="798" spans="7:7" ht="12.75" x14ac:dyDescent="0.2">
      <c r="G798" s="84"/>
    </row>
    <row r="799" spans="7:7" ht="12.75" x14ac:dyDescent="0.2">
      <c r="G799" s="84"/>
    </row>
    <row r="800" spans="7:7" ht="12.75" x14ac:dyDescent="0.2">
      <c r="G800" s="84"/>
    </row>
    <row r="801" spans="7:7" ht="12.75" x14ac:dyDescent="0.2">
      <c r="G801" s="84"/>
    </row>
    <row r="802" spans="7:7" ht="12.75" x14ac:dyDescent="0.2">
      <c r="G802" s="84"/>
    </row>
    <row r="803" spans="7:7" ht="12.75" x14ac:dyDescent="0.2">
      <c r="G803" s="84"/>
    </row>
    <row r="804" spans="7:7" ht="12.75" x14ac:dyDescent="0.2">
      <c r="G804" s="84"/>
    </row>
    <row r="805" spans="7:7" ht="12.75" x14ac:dyDescent="0.2">
      <c r="G805" s="84"/>
    </row>
    <row r="806" spans="7:7" ht="12.75" x14ac:dyDescent="0.2">
      <c r="G806" s="84"/>
    </row>
    <row r="807" spans="7:7" ht="12.75" x14ac:dyDescent="0.2">
      <c r="G807" s="84"/>
    </row>
    <row r="808" spans="7:7" ht="12.75" x14ac:dyDescent="0.2">
      <c r="G808" s="84"/>
    </row>
    <row r="809" spans="7:7" ht="12.75" x14ac:dyDescent="0.2">
      <c r="G809" s="84"/>
    </row>
    <row r="810" spans="7:7" ht="12.75" x14ac:dyDescent="0.2">
      <c r="G810" s="84"/>
    </row>
    <row r="811" spans="7:7" ht="12.75" x14ac:dyDescent="0.2">
      <c r="G811" s="84"/>
    </row>
    <row r="812" spans="7:7" ht="12.75" x14ac:dyDescent="0.2">
      <c r="G812" s="84"/>
    </row>
    <row r="813" spans="7:7" ht="12.75" x14ac:dyDescent="0.2">
      <c r="G813" s="84"/>
    </row>
    <row r="814" spans="7:7" ht="12.75" x14ac:dyDescent="0.2">
      <c r="G814" s="84"/>
    </row>
    <row r="815" spans="7:7" ht="12.75" x14ac:dyDescent="0.2">
      <c r="G815" s="84"/>
    </row>
    <row r="816" spans="7:7" ht="12.75" x14ac:dyDescent="0.2">
      <c r="G816" s="84"/>
    </row>
    <row r="817" spans="7:7" ht="12.75" x14ac:dyDescent="0.2">
      <c r="G817" s="84"/>
    </row>
    <row r="818" spans="7:7" ht="12.75" x14ac:dyDescent="0.2">
      <c r="G818" s="84"/>
    </row>
    <row r="819" spans="7:7" ht="12.75" x14ac:dyDescent="0.2">
      <c r="G819" s="84"/>
    </row>
    <row r="820" spans="7:7" ht="12.75" x14ac:dyDescent="0.2">
      <c r="G820" s="84"/>
    </row>
    <row r="821" spans="7:7" ht="12.75" x14ac:dyDescent="0.2">
      <c r="G821" s="84"/>
    </row>
    <row r="822" spans="7:7" ht="12.75" x14ac:dyDescent="0.2">
      <c r="G822" s="84"/>
    </row>
    <row r="823" spans="7:7" ht="12.75" x14ac:dyDescent="0.2">
      <c r="G823" s="84"/>
    </row>
    <row r="824" spans="7:7" ht="12.75" x14ac:dyDescent="0.2">
      <c r="G824" s="84"/>
    </row>
    <row r="825" spans="7:7" ht="12.75" x14ac:dyDescent="0.2">
      <c r="G825" s="84"/>
    </row>
    <row r="826" spans="7:7" ht="12.75" x14ac:dyDescent="0.2">
      <c r="G826" s="84"/>
    </row>
    <row r="827" spans="7:7" ht="12.75" x14ac:dyDescent="0.2">
      <c r="G827" s="84"/>
    </row>
    <row r="828" spans="7:7" ht="12.75" x14ac:dyDescent="0.2">
      <c r="G828" s="84"/>
    </row>
    <row r="829" spans="7:7" ht="12.75" x14ac:dyDescent="0.2">
      <c r="G829" s="84"/>
    </row>
    <row r="830" spans="7:7" ht="12.75" x14ac:dyDescent="0.2">
      <c r="G830" s="84"/>
    </row>
    <row r="831" spans="7:7" ht="12.75" x14ac:dyDescent="0.2">
      <c r="G831" s="84"/>
    </row>
    <row r="832" spans="7:7" ht="12.75" x14ac:dyDescent="0.2">
      <c r="G832" s="84"/>
    </row>
    <row r="833" spans="7:7" ht="12.75" x14ac:dyDescent="0.2">
      <c r="G833" s="84"/>
    </row>
    <row r="834" spans="7:7" ht="12.75" x14ac:dyDescent="0.2">
      <c r="G834" s="84"/>
    </row>
    <row r="835" spans="7:7" ht="12.75" x14ac:dyDescent="0.2">
      <c r="G835" s="84"/>
    </row>
    <row r="836" spans="7:7" ht="12.75" x14ac:dyDescent="0.2">
      <c r="G836" s="84"/>
    </row>
    <row r="837" spans="7:7" ht="12.75" x14ac:dyDescent="0.2">
      <c r="G837" s="84"/>
    </row>
    <row r="838" spans="7:7" ht="12.75" x14ac:dyDescent="0.2">
      <c r="G838" s="84"/>
    </row>
    <row r="839" spans="7:7" ht="12.75" x14ac:dyDescent="0.2">
      <c r="G839" s="84"/>
    </row>
    <row r="840" spans="7:7" ht="12.75" x14ac:dyDescent="0.2">
      <c r="G840" s="84"/>
    </row>
    <row r="841" spans="7:7" ht="12.75" x14ac:dyDescent="0.2">
      <c r="G841" s="84"/>
    </row>
    <row r="842" spans="7:7" ht="12.75" x14ac:dyDescent="0.2">
      <c r="G842" s="84"/>
    </row>
    <row r="843" spans="7:7" ht="12.75" x14ac:dyDescent="0.2">
      <c r="G843" s="84"/>
    </row>
    <row r="844" spans="7:7" ht="12.75" x14ac:dyDescent="0.2">
      <c r="G844" s="84"/>
    </row>
    <row r="845" spans="7:7" ht="12.75" x14ac:dyDescent="0.2">
      <c r="G845" s="84"/>
    </row>
    <row r="846" spans="7:7" ht="12.75" x14ac:dyDescent="0.2">
      <c r="G846" s="84"/>
    </row>
    <row r="847" spans="7:7" ht="12.75" x14ac:dyDescent="0.2">
      <c r="G847" s="84"/>
    </row>
    <row r="848" spans="7:7" ht="12.75" x14ac:dyDescent="0.2">
      <c r="G848" s="84"/>
    </row>
    <row r="849" spans="7:7" ht="12.75" x14ac:dyDescent="0.2">
      <c r="G849" s="84"/>
    </row>
    <row r="850" spans="7:7" ht="12.75" x14ac:dyDescent="0.2">
      <c r="G850" s="84"/>
    </row>
    <row r="851" spans="7:7" ht="12.75" x14ac:dyDescent="0.2">
      <c r="G851" s="84"/>
    </row>
    <row r="852" spans="7:7" ht="12.75" x14ac:dyDescent="0.2">
      <c r="G852" s="84"/>
    </row>
    <row r="853" spans="7:7" ht="12.75" x14ac:dyDescent="0.2">
      <c r="G853" s="84"/>
    </row>
    <row r="854" spans="7:7" ht="12.75" x14ac:dyDescent="0.2">
      <c r="G854" s="84"/>
    </row>
    <row r="855" spans="7:7" ht="12.75" x14ac:dyDescent="0.2">
      <c r="G855" s="84"/>
    </row>
    <row r="856" spans="7:7" ht="12.75" x14ac:dyDescent="0.2">
      <c r="G856" s="84"/>
    </row>
    <row r="857" spans="7:7" ht="12.75" x14ac:dyDescent="0.2">
      <c r="G857" s="84"/>
    </row>
    <row r="858" spans="7:7" ht="12.75" x14ac:dyDescent="0.2">
      <c r="G858" s="84"/>
    </row>
    <row r="859" spans="7:7" ht="12.75" x14ac:dyDescent="0.2">
      <c r="G859" s="84"/>
    </row>
    <row r="860" spans="7:7" ht="12.75" x14ac:dyDescent="0.2">
      <c r="G860" s="84"/>
    </row>
    <row r="861" spans="7:7" ht="12.75" x14ac:dyDescent="0.2">
      <c r="G861" s="84"/>
    </row>
    <row r="862" spans="7:7" ht="12.75" x14ac:dyDescent="0.2">
      <c r="G862" s="84"/>
    </row>
    <row r="863" spans="7:7" ht="12.75" x14ac:dyDescent="0.2">
      <c r="G863" s="84"/>
    </row>
    <row r="864" spans="7:7" ht="12.75" x14ac:dyDescent="0.2">
      <c r="G864" s="84"/>
    </row>
    <row r="865" spans="7:7" ht="12.75" x14ac:dyDescent="0.2">
      <c r="G865" s="84"/>
    </row>
    <row r="866" spans="7:7" ht="12.75" x14ac:dyDescent="0.2">
      <c r="G866" s="84"/>
    </row>
    <row r="867" spans="7:7" ht="12.75" x14ac:dyDescent="0.2">
      <c r="G867" s="84"/>
    </row>
    <row r="868" spans="7:7" ht="12.75" x14ac:dyDescent="0.2">
      <c r="G868" s="84"/>
    </row>
    <row r="869" spans="7:7" ht="12.75" x14ac:dyDescent="0.2">
      <c r="G869" s="84"/>
    </row>
    <row r="870" spans="7:7" ht="12.75" x14ac:dyDescent="0.2">
      <c r="G870" s="84"/>
    </row>
    <row r="871" spans="7:7" ht="12.75" x14ac:dyDescent="0.2">
      <c r="G871" s="84"/>
    </row>
    <row r="872" spans="7:7" ht="12.75" x14ac:dyDescent="0.2">
      <c r="G872" s="84"/>
    </row>
    <row r="873" spans="7:7" ht="12.75" x14ac:dyDescent="0.2">
      <c r="G873" s="84"/>
    </row>
    <row r="874" spans="7:7" ht="12.75" x14ac:dyDescent="0.2">
      <c r="G874" s="84"/>
    </row>
    <row r="875" spans="7:7" ht="12.75" x14ac:dyDescent="0.2">
      <c r="G875" s="84"/>
    </row>
    <row r="876" spans="7:7" ht="12.75" x14ac:dyDescent="0.2">
      <c r="G876" s="84"/>
    </row>
    <row r="877" spans="7:7" ht="12.75" x14ac:dyDescent="0.2">
      <c r="G877" s="84"/>
    </row>
    <row r="878" spans="7:7" ht="12.75" x14ac:dyDescent="0.2">
      <c r="G878" s="84"/>
    </row>
    <row r="879" spans="7:7" ht="12.75" x14ac:dyDescent="0.2">
      <c r="G879" s="84"/>
    </row>
    <row r="880" spans="7:7" ht="12.75" x14ac:dyDescent="0.2">
      <c r="G880" s="84"/>
    </row>
    <row r="881" spans="7:7" ht="12.75" x14ac:dyDescent="0.2">
      <c r="G881" s="84"/>
    </row>
    <row r="882" spans="7:7" ht="12.75" x14ac:dyDescent="0.2">
      <c r="G882" s="84"/>
    </row>
    <row r="883" spans="7:7" ht="12.75" x14ac:dyDescent="0.2">
      <c r="G883" s="84"/>
    </row>
    <row r="884" spans="7:7" ht="12.75" x14ac:dyDescent="0.2">
      <c r="G884" s="84"/>
    </row>
    <row r="885" spans="7:7" ht="12.75" x14ac:dyDescent="0.2">
      <c r="G885" s="84"/>
    </row>
    <row r="886" spans="7:7" ht="12.75" x14ac:dyDescent="0.2">
      <c r="G886" s="84"/>
    </row>
    <row r="887" spans="7:7" ht="12.75" x14ac:dyDescent="0.2">
      <c r="G887" s="84"/>
    </row>
    <row r="888" spans="7:7" ht="12.75" x14ac:dyDescent="0.2">
      <c r="G888" s="84"/>
    </row>
    <row r="889" spans="7:7" ht="12.75" x14ac:dyDescent="0.2">
      <c r="G889" s="84"/>
    </row>
    <row r="890" spans="7:7" ht="12.75" x14ac:dyDescent="0.2">
      <c r="G890" s="84"/>
    </row>
    <row r="891" spans="7:7" ht="12.75" x14ac:dyDescent="0.2">
      <c r="G891" s="84"/>
    </row>
    <row r="892" spans="7:7" ht="12.75" x14ac:dyDescent="0.2">
      <c r="G892" s="84"/>
    </row>
    <row r="893" spans="7:7" ht="12.75" x14ac:dyDescent="0.2">
      <c r="G893" s="84"/>
    </row>
    <row r="894" spans="7:7" ht="12.75" x14ac:dyDescent="0.2">
      <c r="G894" s="84"/>
    </row>
    <row r="895" spans="7:7" ht="12.75" x14ac:dyDescent="0.2">
      <c r="G895" s="84"/>
    </row>
    <row r="896" spans="7:7" ht="12.75" x14ac:dyDescent="0.2">
      <c r="G896" s="84"/>
    </row>
    <row r="897" spans="7:7" ht="12.75" x14ac:dyDescent="0.2">
      <c r="G897" s="84"/>
    </row>
    <row r="898" spans="7:7" ht="12.75" x14ac:dyDescent="0.2">
      <c r="G898" s="84"/>
    </row>
    <row r="899" spans="7:7" ht="12.75" x14ac:dyDescent="0.2">
      <c r="G899" s="84"/>
    </row>
    <row r="900" spans="7:7" ht="12.75" x14ac:dyDescent="0.2">
      <c r="G900" s="84"/>
    </row>
    <row r="901" spans="7:7" ht="12.75" x14ac:dyDescent="0.2">
      <c r="G901" s="84"/>
    </row>
    <row r="902" spans="7:7" ht="12.75" x14ac:dyDescent="0.2">
      <c r="G902" s="84"/>
    </row>
    <row r="903" spans="7:7" ht="12.75" x14ac:dyDescent="0.2">
      <c r="G903" s="84"/>
    </row>
    <row r="904" spans="7:7" ht="12.75" x14ac:dyDescent="0.2">
      <c r="G904" s="84"/>
    </row>
    <row r="905" spans="7:7" ht="12.75" x14ac:dyDescent="0.2">
      <c r="G905" s="84"/>
    </row>
    <row r="906" spans="7:7" ht="12.75" x14ac:dyDescent="0.2">
      <c r="G906" s="84"/>
    </row>
    <row r="907" spans="7:7" ht="12.75" x14ac:dyDescent="0.2">
      <c r="G907" s="84"/>
    </row>
    <row r="908" spans="7:7" ht="12.75" x14ac:dyDescent="0.2">
      <c r="G908" s="84"/>
    </row>
    <row r="909" spans="7:7" ht="12.75" x14ac:dyDescent="0.2">
      <c r="G909" s="84"/>
    </row>
    <row r="910" spans="7:7" ht="12.75" x14ac:dyDescent="0.2">
      <c r="G910" s="84"/>
    </row>
    <row r="911" spans="7:7" ht="12.75" x14ac:dyDescent="0.2">
      <c r="G911" s="84"/>
    </row>
    <row r="912" spans="7:7" ht="12.75" x14ac:dyDescent="0.2">
      <c r="G912" s="84"/>
    </row>
    <row r="913" spans="7:7" ht="12.75" x14ac:dyDescent="0.2">
      <c r="G913" s="84"/>
    </row>
    <row r="914" spans="7:7" ht="12.75" x14ac:dyDescent="0.2">
      <c r="G914" s="84"/>
    </row>
    <row r="915" spans="7:7" ht="12.75" x14ac:dyDescent="0.2">
      <c r="G915" s="84"/>
    </row>
    <row r="916" spans="7:7" ht="12.75" x14ac:dyDescent="0.2">
      <c r="G916" s="84"/>
    </row>
    <row r="917" spans="7:7" ht="12.75" x14ac:dyDescent="0.2">
      <c r="G917" s="84"/>
    </row>
    <row r="918" spans="7:7" ht="12.75" x14ac:dyDescent="0.2">
      <c r="G918" s="84"/>
    </row>
    <row r="919" spans="7:7" ht="12.75" x14ac:dyDescent="0.2">
      <c r="G919" s="84"/>
    </row>
    <row r="920" spans="7:7" ht="12.75" x14ac:dyDescent="0.2">
      <c r="G920" s="84"/>
    </row>
    <row r="921" spans="7:7" ht="12.75" x14ac:dyDescent="0.2">
      <c r="G921" s="84"/>
    </row>
    <row r="922" spans="7:7" ht="12.75" x14ac:dyDescent="0.2">
      <c r="G922" s="84"/>
    </row>
    <row r="923" spans="7:7" ht="12.75" x14ac:dyDescent="0.2">
      <c r="G923" s="84"/>
    </row>
    <row r="924" spans="7:7" ht="12.75" x14ac:dyDescent="0.2">
      <c r="G924" s="84"/>
    </row>
    <row r="925" spans="7:7" ht="12.75" x14ac:dyDescent="0.2">
      <c r="G925" s="84"/>
    </row>
    <row r="926" spans="7:7" ht="12.75" x14ac:dyDescent="0.2">
      <c r="G926" s="84"/>
    </row>
    <row r="927" spans="7:7" ht="12.75" x14ac:dyDescent="0.2">
      <c r="G927" s="84"/>
    </row>
    <row r="928" spans="7:7" ht="12.75" x14ac:dyDescent="0.2">
      <c r="G928" s="84"/>
    </row>
    <row r="929" spans="7:7" ht="12.75" x14ac:dyDescent="0.2">
      <c r="G929" s="84"/>
    </row>
    <row r="930" spans="7:7" ht="12.75" x14ac:dyDescent="0.2">
      <c r="G930" s="84"/>
    </row>
    <row r="931" spans="7:7" ht="12.75" x14ac:dyDescent="0.2">
      <c r="G931" s="84"/>
    </row>
    <row r="932" spans="7:7" ht="12.75" x14ac:dyDescent="0.2">
      <c r="G932" s="84"/>
    </row>
    <row r="933" spans="7:7" ht="12.75" x14ac:dyDescent="0.2">
      <c r="G933" s="84"/>
    </row>
    <row r="934" spans="7:7" ht="12.75" x14ac:dyDescent="0.2">
      <c r="G934" s="84"/>
    </row>
    <row r="935" spans="7:7" ht="12.75" x14ac:dyDescent="0.2">
      <c r="G935" s="84"/>
    </row>
    <row r="936" spans="7:7" ht="12.75" x14ac:dyDescent="0.2">
      <c r="G936" s="84"/>
    </row>
    <row r="937" spans="7:7" ht="12.75" x14ac:dyDescent="0.2">
      <c r="G937" s="84"/>
    </row>
    <row r="938" spans="7:7" ht="12.75" x14ac:dyDescent="0.2">
      <c r="G938" s="84"/>
    </row>
    <row r="939" spans="7:7" ht="12.75" x14ac:dyDescent="0.2">
      <c r="G939" s="84"/>
    </row>
    <row r="940" spans="7:7" ht="12.75" x14ac:dyDescent="0.2">
      <c r="G940" s="84"/>
    </row>
    <row r="941" spans="7:7" ht="12.75" x14ac:dyDescent="0.2">
      <c r="G941" s="84"/>
    </row>
    <row r="942" spans="7:7" ht="12.75" x14ac:dyDescent="0.2">
      <c r="G942" s="84"/>
    </row>
    <row r="943" spans="7:7" ht="12.75" x14ac:dyDescent="0.2">
      <c r="G943" s="84"/>
    </row>
    <row r="944" spans="7:7" ht="12.75" x14ac:dyDescent="0.2">
      <c r="G944" s="84"/>
    </row>
    <row r="945" spans="7:7" ht="12.75" x14ac:dyDescent="0.2">
      <c r="G945" s="84"/>
    </row>
    <row r="946" spans="7:7" ht="12.75" x14ac:dyDescent="0.2">
      <c r="G946" s="84"/>
    </row>
    <row r="947" spans="7:7" ht="12.75" x14ac:dyDescent="0.2">
      <c r="G947" s="84"/>
    </row>
    <row r="948" spans="7:7" ht="12.75" x14ac:dyDescent="0.2">
      <c r="G948" s="84"/>
    </row>
    <row r="949" spans="7:7" ht="12.75" x14ac:dyDescent="0.2">
      <c r="G949" s="84"/>
    </row>
    <row r="950" spans="7:7" ht="12.75" x14ac:dyDescent="0.2">
      <c r="G950" s="84"/>
    </row>
    <row r="951" spans="7:7" ht="12.75" x14ac:dyDescent="0.2">
      <c r="G951" s="84"/>
    </row>
    <row r="952" spans="7:7" ht="12.75" x14ac:dyDescent="0.2">
      <c r="G952" s="84"/>
    </row>
    <row r="953" spans="7:7" ht="12.75" x14ac:dyDescent="0.2">
      <c r="G953" s="84"/>
    </row>
    <row r="954" spans="7:7" ht="12.75" x14ac:dyDescent="0.2">
      <c r="G954" s="84"/>
    </row>
    <row r="955" spans="7:7" ht="12.75" x14ac:dyDescent="0.2">
      <c r="G955" s="84"/>
    </row>
    <row r="956" spans="7:7" ht="12.75" x14ac:dyDescent="0.2">
      <c r="G956" s="84"/>
    </row>
    <row r="957" spans="7:7" ht="12.75" x14ac:dyDescent="0.2">
      <c r="G957" s="84"/>
    </row>
    <row r="958" spans="7:7" ht="12.75" x14ac:dyDescent="0.2">
      <c r="G958" s="84"/>
    </row>
    <row r="959" spans="7:7" ht="12.75" x14ac:dyDescent="0.2">
      <c r="G959" s="84"/>
    </row>
    <row r="960" spans="7:7" ht="12.75" x14ac:dyDescent="0.2">
      <c r="G960" s="84"/>
    </row>
    <row r="961" spans="7:7" ht="12.75" x14ac:dyDescent="0.2">
      <c r="G961" s="84"/>
    </row>
    <row r="962" spans="7:7" ht="12.75" x14ac:dyDescent="0.2">
      <c r="G962" s="84"/>
    </row>
    <row r="963" spans="7:7" ht="12.75" x14ac:dyDescent="0.2">
      <c r="G963" s="84"/>
    </row>
    <row r="964" spans="7:7" ht="12.75" x14ac:dyDescent="0.2">
      <c r="G964" s="84"/>
    </row>
    <row r="965" spans="7:7" ht="12.75" x14ac:dyDescent="0.2">
      <c r="G965" s="84"/>
    </row>
    <row r="966" spans="7:7" ht="12.75" x14ac:dyDescent="0.2">
      <c r="G966" s="84"/>
    </row>
    <row r="967" spans="7:7" ht="12.75" x14ac:dyDescent="0.2">
      <c r="G967" s="84"/>
    </row>
    <row r="968" spans="7:7" ht="12.75" x14ac:dyDescent="0.2">
      <c r="G968" s="84"/>
    </row>
    <row r="969" spans="7:7" ht="12.75" x14ac:dyDescent="0.2">
      <c r="G969" s="84"/>
    </row>
    <row r="970" spans="7:7" ht="12.75" x14ac:dyDescent="0.2">
      <c r="G970" s="84"/>
    </row>
    <row r="971" spans="7:7" ht="12.75" x14ac:dyDescent="0.2">
      <c r="G971" s="84"/>
    </row>
    <row r="972" spans="7:7" ht="12.75" x14ac:dyDescent="0.2">
      <c r="G972" s="84"/>
    </row>
    <row r="973" spans="7:7" ht="12.75" x14ac:dyDescent="0.2">
      <c r="G973" s="84"/>
    </row>
    <row r="974" spans="7:7" ht="12.75" x14ac:dyDescent="0.2">
      <c r="G974" s="84"/>
    </row>
    <row r="975" spans="7:7" ht="12.75" x14ac:dyDescent="0.2">
      <c r="G975" s="84"/>
    </row>
    <row r="976" spans="7:7" ht="12.75" x14ac:dyDescent="0.2">
      <c r="G976" s="84"/>
    </row>
    <row r="977" spans="7:7" ht="12.75" x14ac:dyDescent="0.2">
      <c r="G977" s="84"/>
    </row>
    <row r="978" spans="7:7" ht="12.75" x14ac:dyDescent="0.2">
      <c r="G978" s="84"/>
    </row>
    <row r="979" spans="7:7" ht="12.75" x14ac:dyDescent="0.2">
      <c r="G979" s="84"/>
    </row>
    <row r="980" spans="7:7" ht="12.75" x14ac:dyDescent="0.2">
      <c r="G980" s="84"/>
    </row>
    <row r="981" spans="7:7" ht="12.75" x14ac:dyDescent="0.2">
      <c r="G981" s="84"/>
    </row>
    <row r="982" spans="7:7" ht="12.75" x14ac:dyDescent="0.2">
      <c r="G982" s="84"/>
    </row>
    <row r="983" spans="7:7" ht="12.75" x14ac:dyDescent="0.2">
      <c r="G983" s="84"/>
    </row>
    <row r="984" spans="7:7" ht="12.75" x14ac:dyDescent="0.2">
      <c r="G984" s="84"/>
    </row>
    <row r="985" spans="7:7" ht="12.75" x14ac:dyDescent="0.2">
      <c r="G985" s="84"/>
    </row>
    <row r="986" spans="7:7" ht="12.75" x14ac:dyDescent="0.2">
      <c r="G986" s="84"/>
    </row>
    <row r="987" spans="7:7" ht="12.75" x14ac:dyDescent="0.2">
      <c r="G987" s="84"/>
    </row>
    <row r="988" spans="7:7" ht="12.75" x14ac:dyDescent="0.2">
      <c r="G988" s="84"/>
    </row>
    <row r="989" spans="7:7" ht="12.75" x14ac:dyDescent="0.2">
      <c r="G989" s="84"/>
    </row>
    <row r="990" spans="7:7" ht="12.75" x14ac:dyDescent="0.2">
      <c r="G990" s="84"/>
    </row>
    <row r="991" spans="7:7" ht="12.75" x14ac:dyDescent="0.2">
      <c r="G991" s="84"/>
    </row>
    <row r="992" spans="7:7" ht="12.75" x14ac:dyDescent="0.2">
      <c r="G992" s="84"/>
    </row>
    <row r="993" spans="7:7" ht="12.75" x14ac:dyDescent="0.2">
      <c r="G993" s="84"/>
    </row>
    <row r="994" spans="7:7" ht="12.75" x14ac:dyDescent="0.2">
      <c r="G994" s="84"/>
    </row>
    <row r="995" spans="7:7" ht="12.75" x14ac:dyDescent="0.2">
      <c r="G995" s="84"/>
    </row>
    <row r="996" spans="7:7" ht="12.75" x14ac:dyDescent="0.2">
      <c r="G996" s="84"/>
    </row>
    <row r="997" spans="7:7" ht="12.75" x14ac:dyDescent="0.2">
      <c r="G997" s="84"/>
    </row>
    <row r="998" spans="7:7" ht="12.75" x14ac:dyDescent="0.2">
      <c r="G998" s="84"/>
    </row>
    <row r="999" spans="7:7" ht="12.75" x14ac:dyDescent="0.2">
      <c r="G999" s="84"/>
    </row>
    <row r="1000" spans="7:7" ht="12.75" x14ac:dyDescent="0.2">
      <c r="G1000" s="84"/>
    </row>
  </sheetData>
  <mergeCells count="2">
    <mergeCell ref="G2:K2"/>
    <mergeCell ref="G9:K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defaultColWidth="12.5703125" defaultRowHeight="15.75" customHeight="1" x14ac:dyDescent="0.2"/>
  <cols>
    <col min="2" max="2" width="35.85546875" customWidth="1"/>
    <col min="7" max="7" width="17.28515625" customWidth="1"/>
    <col min="8" max="8" width="16" customWidth="1"/>
    <col min="9" max="9" width="13.7109375" customWidth="1"/>
    <col min="10" max="10" width="14" customWidth="1"/>
    <col min="13" max="13" width="14.42578125" customWidth="1"/>
    <col min="18" max="18" width="15.42578125" customWidth="1"/>
  </cols>
  <sheetData>
    <row r="1" spans="1:26" x14ac:dyDescent="0.2">
      <c r="A1" s="130"/>
      <c r="B1" s="130"/>
      <c r="C1" s="131"/>
      <c r="D1" s="131"/>
      <c r="E1" s="131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x14ac:dyDescent="0.2">
      <c r="A2" s="130"/>
      <c r="B2" s="130"/>
      <c r="C2" s="132">
        <v>2022</v>
      </c>
      <c r="D2" s="133">
        <v>2021</v>
      </c>
      <c r="E2" s="134">
        <v>2020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6" x14ac:dyDescent="0.2">
      <c r="A3" s="130"/>
      <c r="B3" s="135" t="s">
        <v>98</v>
      </c>
      <c r="C3" s="136"/>
      <c r="D3" s="136"/>
      <c r="E3" s="137"/>
      <c r="F3" s="130"/>
      <c r="G3" s="138" t="s">
        <v>99</v>
      </c>
      <c r="H3" s="139">
        <v>2022</v>
      </c>
      <c r="I3" s="139">
        <v>2021</v>
      </c>
      <c r="J3" s="140">
        <v>2020</v>
      </c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x14ac:dyDescent="0.2">
      <c r="A4" s="130"/>
      <c r="B4" s="141"/>
      <c r="C4" s="103"/>
      <c r="D4" s="103"/>
      <c r="E4" s="122"/>
      <c r="F4" s="130"/>
      <c r="G4" s="142" t="s">
        <v>100</v>
      </c>
      <c r="H4" s="143">
        <f t="shared" ref="H4:J4" si="0">C22</f>
        <v>5379</v>
      </c>
      <c r="I4" s="143">
        <f t="shared" si="0"/>
        <v>9518</v>
      </c>
      <c r="J4" s="144">
        <f t="shared" si="0"/>
        <v>17143</v>
      </c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x14ac:dyDescent="0.2">
      <c r="A5" s="130"/>
      <c r="B5" s="145" t="s">
        <v>101</v>
      </c>
      <c r="C5" s="119">
        <v>28623</v>
      </c>
      <c r="D5" s="119">
        <v>5781</v>
      </c>
      <c r="E5" s="104">
        <v>6997</v>
      </c>
      <c r="F5" s="130"/>
      <c r="G5" s="142" t="s">
        <v>102</v>
      </c>
      <c r="H5" s="143">
        <f t="shared" ref="H5:J5" si="1">C38</f>
        <v>28527</v>
      </c>
      <c r="I5" s="143">
        <f t="shared" si="1"/>
        <v>-2858</v>
      </c>
      <c r="J5" s="144">
        <f t="shared" si="1"/>
        <v>-3093</v>
      </c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x14ac:dyDescent="0.2">
      <c r="A6" s="130"/>
      <c r="B6" s="141"/>
      <c r="C6" s="103"/>
      <c r="D6" s="103"/>
      <c r="E6" s="104"/>
      <c r="F6" s="130"/>
      <c r="G6" s="142" t="s">
        <v>103</v>
      </c>
      <c r="H6" s="143">
        <f t="shared" ref="H6:J6" si="2">C51</f>
        <v>-24803</v>
      </c>
      <c r="I6" s="143">
        <f t="shared" si="2"/>
        <v>-6011</v>
      </c>
      <c r="J6" s="144">
        <f t="shared" si="2"/>
        <v>-8523</v>
      </c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x14ac:dyDescent="0.2">
      <c r="A7" s="130"/>
      <c r="B7" s="145" t="s">
        <v>104</v>
      </c>
      <c r="C7" s="119">
        <f t="shared" ref="C7:E7" si="3">SUM(C8:C19)</f>
        <v>-19790</v>
      </c>
      <c r="D7" s="119">
        <f t="shared" si="3"/>
        <v>4651</v>
      </c>
      <c r="E7" s="122">
        <f t="shared" si="3"/>
        <v>12259</v>
      </c>
      <c r="F7" s="130"/>
      <c r="G7" s="146"/>
      <c r="H7" s="147"/>
      <c r="I7" s="147"/>
      <c r="J7" s="148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x14ac:dyDescent="0.2">
      <c r="A8" s="130"/>
      <c r="B8" s="141" t="s">
        <v>105</v>
      </c>
      <c r="C8" s="103">
        <v>4789</v>
      </c>
      <c r="D8" s="103">
        <v>6586</v>
      </c>
      <c r="E8" s="104">
        <v>6731</v>
      </c>
      <c r="F8" s="130"/>
      <c r="G8" s="142" t="s">
        <v>106</v>
      </c>
      <c r="H8" s="143">
        <f t="shared" ref="H8:J8" si="4">C57</f>
        <v>19387</v>
      </c>
      <c r="I8" s="143">
        <f t="shared" si="4"/>
        <v>10284</v>
      </c>
      <c r="J8" s="144">
        <f t="shared" si="4"/>
        <v>9635</v>
      </c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x14ac:dyDescent="0.2">
      <c r="A9" s="130"/>
      <c r="B9" s="141" t="s">
        <v>107</v>
      </c>
      <c r="C9" s="103">
        <v>-295</v>
      </c>
      <c r="D9" s="103">
        <v>255</v>
      </c>
      <c r="E9" s="104">
        <v>352</v>
      </c>
      <c r="F9" s="130"/>
      <c r="G9" s="149" t="s">
        <v>108</v>
      </c>
      <c r="H9" s="150">
        <f t="shared" ref="H9:J9" si="5">C54</f>
        <v>9103</v>
      </c>
      <c r="I9" s="150">
        <f t="shared" si="5"/>
        <v>649</v>
      </c>
      <c r="J9" s="151">
        <f t="shared" si="5"/>
        <v>5527</v>
      </c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x14ac:dyDescent="0.2">
      <c r="A10" s="130"/>
      <c r="B10" s="141" t="s">
        <v>109</v>
      </c>
      <c r="C10" s="103">
        <v>205</v>
      </c>
      <c r="D10" s="103">
        <v>240</v>
      </c>
      <c r="E10" s="104">
        <v>142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x14ac:dyDescent="0.2">
      <c r="A11" s="130"/>
      <c r="B11" s="141" t="s">
        <v>110</v>
      </c>
      <c r="C11" s="103">
        <v>64</v>
      </c>
      <c r="D11" s="103">
        <v>134</v>
      </c>
      <c r="E11" s="104">
        <v>773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x14ac:dyDescent="0.2">
      <c r="A12" s="130"/>
      <c r="B12" s="141" t="s">
        <v>111</v>
      </c>
      <c r="C12" s="103">
        <v>-21396</v>
      </c>
      <c r="D12" s="103" t="s">
        <v>74</v>
      </c>
      <c r="E12" s="104" t="s">
        <v>74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x14ac:dyDescent="0.2">
      <c r="A13" s="130"/>
      <c r="B13" s="141" t="s">
        <v>112</v>
      </c>
      <c r="C13" s="103" t="s">
        <v>74</v>
      </c>
      <c r="D13" s="103" t="s">
        <v>74</v>
      </c>
      <c r="E13" s="104">
        <v>143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6" x14ac:dyDescent="0.2">
      <c r="A14" s="130"/>
      <c r="B14" s="141" t="s">
        <v>113</v>
      </c>
      <c r="C14" s="103">
        <v>-5118</v>
      </c>
      <c r="D14" s="103">
        <v>6</v>
      </c>
      <c r="E14" s="104">
        <v>-319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6" x14ac:dyDescent="0.2">
      <c r="A15" s="130"/>
      <c r="B15" s="141" t="s">
        <v>114</v>
      </c>
      <c r="C15" s="103">
        <v>32</v>
      </c>
      <c r="D15" s="103">
        <v>-63</v>
      </c>
      <c r="E15" s="104">
        <v>310</v>
      </c>
      <c r="F15" s="130"/>
      <c r="G15" s="147"/>
      <c r="H15" s="152">
        <v>2022</v>
      </c>
      <c r="I15" s="147"/>
      <c r="J15" s="147"/>
      <c r="K15" s="130"/>
      <c r="L15" s="147"/>
      <c r="M15" s="152">
        <v>2021</v>
      </c>
      <c r="N15" s="147"/>
      <c r="O15" s="147"/>
      <c r="P15" s="130"/>
      <c r="Q15" s="153"/>
      <c r="R15" s="152">
        <v>2020</v>
      </c>
      <c r="S15" s="153"/>
      <c r="T15" s="153"/>
      <c r="U15" s="130"/>
      <c r="V15" s="130"/>
      <c r="W15" s="130"/>
      <c r="X15" s="130"/>
      <c r="Y15" s="130"/>
      <c r="Z15" s="130"/>
    </row>
    <row r="16" spans="1:26" x14ac:dyDescent="0.2">
      <c r="A16" s="130"/>
      <c r="B16" s="154" t="s">
        <v>115</v>
      </c>
      <c r="C16" s="103">
        <v>282</v>
      </c>
      <c r="D16" s="103">
        <v>-3450</v>
      </c>
      <c r="E16" s="104">
        <v>3049</v>
      </c>
      <c r="F16" s="130"/>
      <c r="G16" s="155" t="s">
        <v>116</v>
      </c>
      <c r="H16" s="155" t="s">
        <v>117</v>
      </c>
      <c r="I16" s="155" t="s">
        <v>118</v>
      </c>
      <c r="J16" s="152" t="s">
        <v>119</v>
      </c>
      <c r="K16" s="130"/>
      <c r="L16" s="155" t="s">
        <v>116</v>
      </c>
      <c r="M16" s="155" t="s">
        <v>117</v>
      </c>
      <c r="N16" s="155" t="s">
        <v>118</v>
      </c>
      <c r="O16" s="152" t="s">
        <v>119</v>
      </c>
      <c r="P16" s="130"/>
      <c r="Q16" s="155" t="s">
        <v>116</v>
      </c>
      <c r="R16" s="155" t="s">
        <v>117</v>
      </c>
      <c r="S16" s="155" t="s">
        <v>118</v>
      </c>
      <c r="T16" s="156" t="s">
        <v>119</v>
      </c>
      <c r="U16" s="130"/>
      <c r="V16" s="130"/>
      <c r="W16" s="130"/>
      <c r="X16" s="130"/>
      <c r="Y16" s="130"/>
      <c r="Z16" s="130"/>
    </row>
    <row r="17" spans="1:26" x14ac:dyDescent="0.2">
      <c r="A17" s="130"/>
      <c r="B17" s="141" t="s">
        <v>120</v>
      </c>
      <c r="C17" s="103">
        <v>-1147</v>
      </c>
      <c r="D17" s="103">
        <v>1020</v>
      </c>
      <c r="E17" s="104">
        <v>-53</v>
      </c>
      <c r="F17" s="130"/>
      <c r="G17" s="157" t="s">
        <v>121</v>
      </c>
      <c r="H17" s="157" t="s">
        <v>121</v>
      </c>
      <c r="I17" s="157" t="s">
        <v>74</v>
      </c>
      <c r="J17" s="157">
        <v>2</v>
      </c>
      <c r="K17" s="130"/>
      <c r="L17" s="157" t="s">
        <v>121</v>
      </c>
      <c r="M17" s="157" t="s">
        <v>74</v>
      </c>
      <c r="N17" s="157" t="s">
        <v>74</v>
      </c>
      <c r="O17" s="157">
        <v>4</v>
      </c>
      <c r="P17" s="130"/>
      <c r="Q17" s="158" t="s">
        <v>121</v>
      </c>
      <c r="R17" s="158" t="s">
        <v>74</v>
      </c>
      <c r="S17" s="158" t="s">
        <v>74</v>
      </c>
      <c r="T17" s="158">
        <v>4</v>
      </c>
      <c r="U17" s="130"/>
      <c r="V17" s="130"/>
      <c r="W17" s="130"/>
      <c r="X17" s="130"/>
      <c r="Y17" s="130"/>
      <c r="Z17" s="130"/>
    </row>
    <row r="18" spans="1:26" x14ac:dyDescent="0.2">
      <c r="A18" s="130"/>
      <c r="B18" s="141" t="s">
        <v>122</v>
      </c>
      <c r="C18" s="103">
        <v>710</v>
      </c>
      <c r="D18" s="103">
        <v>1175</v>
      </c>
      <c r="E18" s="104">
        <v>807</v>
      </c>
      <c r="F18" s="130"/>
      <c r="G18" s="130"/>
      <c r="H18" s="130"/>
      <c r="I18" s="130"/>
      <c r="J18" s="130"/>
      <c r="K18" s="159"/>
      <c r="L18" s="159"/>
      <c r="M18" s="159"/>
      <c r="N18" s="159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:26" x14ac:dyDescent="0.2">
      <c r="A19" s="130"/>
      <c r="B19" s="154" t="s">
        <v>123</v>
      </c>
      <c r="C19" s="103">
        <v>2084</v>
      </c>
      <c r="D19" s="103">
        <v>-1252</v>
      </c>
      <c r="E19" s="104">
        <v>324</v>
      </c>
      <c r="F19" s="130"/>
      <c r="G19" s="130"/>
      <c r="H19" s="155"/>
      <c r="I19" s="155">
        <v>2022</v>
      </c>
      <c r="J19" s="155"/>
      <c r="K19" s="130"/>
      <c r="L19" s="130"/>
      <c r="M19" s="155"/>
      <c r="N19" s="155">
        <v>2021</v>
      </c>
      <c r="O19" s="155"/>
      <c r="P19" s="130"/>
      <c r="Q19" s="130"/>
      <c r="R19" s="155"/>
      <c r="S19" s="155">
        <v>2020</v>
      </c>
      <c r="T19" s="155"/>
      <c r="U19" s="130"/>
      <c r="V19" s="130"/>
      <c r="W19" s="130"/>
      <c r="X19" s="130"/>
      <c r="Y19" s="130"/>
      <c r="Z19" s="130"/>
    </row>
    <row r="20" spans="1:26" x14ac:dyDescent="0.2">
      <c r="A20" s="130"/>
      <c r="B20" s="160" t="s">
        <v>124</v>
      </c>
      <c r="C20" s="119">
        <f t="shared" ref="C20:E20" si="6">C22:E22-C21:E21</f>
        <v>8833</v>
      </c>
      <c r="D20" s="119">
        <f t="shared" si="6"/>
        <v>10432</v>
      </c>
      <c r="E20" s="122">
        <f t="shared" si="6"/>
        <v>19256</v>
      </c>
      <c r="F20" s="130"/>
      <c r="G20" s="130"/>
      <c r="H20" s="155" t="s">
        <v>106</v>
      </c>
      <c r="I20" s="155" t="s">
        <v>108</v>
      </c>
      <c r="J20" s="155" t="s">
        <v>119</v>
      </c>
      <c r="K20" s="130"/>
      <c r="L20" s="130"/>
      <c r="M20" s="155" t="s">
        <v>106</v>
      </c>
      <c r="N20" s="155" t="s">
        <v>108</v>
      </c>
      <c r="O20" s="155" t="s">
        <v>119</v>
      </c>
      <c r="P20" s="130"/>
      <c r="Q20" s="130"/>
      <c r="R20" s="155" t="s">
        <v>106</v>
      </c>
      <c r="S20" s="155" t="s">
        <v>108</v>
      </c>
      <c r="T20" s="155" t="s">
        <v>119</v>
      </c>
      <c r="U20" s="130"/>
      <c r="V20" s="130"/>
      <c r="W20" s="130"/>
      <c r="X20" s="130"/>
      <c r="Y20" s="130"/>
      <c r="Z20" s="130"/>
    </row>
    <row r="21" spans="1:26" x14ac:dyDescent="0.2">
      <c r="A21" s="130"/>
      <c r="B21" s="141" t="s">
        <v>125</v>
      </c>
      <c r="C21" s="103">
        <v>-3454</v>
      </c>
      <c r="D21" s="103">
        <v>-914</v>
      </c>
      <c r="E21" s="104">
        <v>-2113</v>
      </c>
      <c r="F21" s="130"/>
      <c r="G21" s="130"/>
      <c r="H21" s="157" t="s">
        <v>121</v>
      </c>
      <c r="I21" s="157" t="s">
        <v>121</v>
      </c>
      <c r="J21" s="157">
        <v>1</v>
      </c>
      <c r="K21" s="130"/>
      <c r="L21" s="130"/>
      <c r="M21" s="157" t="s">
        <v>121</v>
      </c>
      <c r="N21" s="157" t="s">
        <v>121</v>
      </c>
      <c r="O21" s="157">
        <v>1</v>
      </c>
      <c r="P21" s="130"/>
      <c r="Q21" s="130"/>
      <c r="R21" s="158" t="s">
        <v>121</v>
      </c>
      <c r="S21" s="158" t="s">
        <v>121</v>
      </c>
      <c r="T21" s="158">
        <v>1</v>
      </c>
      <c r="U21" s="130"/>
      <c r="V21" s="130"/>
      <c r="W21" s="130"/>
      <c r="X21" s="130"/>
      <c r="Y21" s="130"/>
      <c r="Z21" s="130"/>
    </row>
    <row r="22" spans="1:26" x14ac:dyDescent="0.2">
      <c r="A22" s="130"/>
      <c r="B22" s="160" t="s">
        <v>126</v>
      </c>
      <c r="C22" s="109">
        <v>5379</v>
      </c>
      <c r="D22" s="109">
        <v>9518</v>
      </c>
      <c r="E22" s="110">
        <v>17143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6" x14ac:dyDescent="0.2">
      <c r="A23" s="130"/>
      <c r="B23" s="141"/>
      <c r="C23" s="103"/>
      <c r="D23" s="103"/>
      <c r="E23" s="104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6" x14ac:dyDescent="0.2">
      <c r="A24" s="130"/>
      <c r="B24" s="141"/>
      <c r="C24" s="103"/>
      <c r="D24" s="103"/>
      <c r="E24" s="104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:26" x14ac:dyDescent="0.2">
      <c r="A25" s="130"/>
      <c r="B25" s="161" t="s">
        <v>127</v>
      </c>
      <c r="C25" s="147"/>
      <c r="D25" s="147"/>
      <c r="E25" s="148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:26" x14ac:dyDescent="0.2">
      <c r="A26" s="130"/>
      <c r="B26" s="141"/>
      <c r="C26" s="103"/>
      <c r="D26" s="103"/>
      <c r="E26" s="104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x14ac:dyDescent="0.2">
      <c r="A27" s="130"/>
      <c r="B27" s="145" t="s">
        <v>128</v>
      </c>
      <c r="C27" s="103"/>
      <c r="D27" s="103"/>
      <c r="E27" s="104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x14ac:dyDescent="0.2">
      <c r="A28" s="130"/>
      <c r="B28" s="154" t="s">
        <v>129</v>
      </c>
      <c r="C28" s="103">
        <v>176</v>
      </c>
      <c r="D28" s="103">
        <v>215</v>
      </c>
      <c r="E28" s="104">
        <v>203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x14ac:dyDescent="0.2">
      <c r="A29" s="130"/>
      <c r="B29" s="154" t="s">
        <v>130</v>
      </c>
      <c r="C29" s="103">
        <v>7952</v>
      </c>
      <c r="D29" s="103">
        <v>12</v>
      </c>
      <c r="E29" s="104">
        <v>9</v>
      </c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x14ac:dyDescent="0.2">
      <c r="A30" s="130"/>
      <c r="B30" s="154" t="s">
        <v>131</v>
      </c>
      <c r="C30" s="103">
        <v>24407</v>
      </c>
      <c r="D30" s="103">
        <v>1</v>
      </c>
      <c r="E30" s="104">
        <v>3</v>
      </c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x14ac:dyDescent="0.2">
      <c r="A31" s="130"/>
      <c r="B31" s="154" t="s">
        <v>132</v>
      </c>
      <c r="C31" s="103">
        <v>410</v>
      </c>
      <c r="D31" s="103">
        <v>4</v>
      </c>
      <c r="E31" s="104">
        <v>7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x14ac:dyDescent="0.2">
      <c r="A32" s="130"/>
      <c r="B32" s="141"/>
      <c r="C32" s="103"/>
      <c r="D32" s="103"/>
      <c r="E32" s="104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x14ac:dyDescent="0.2">
      <c r="A33" s="130"/>
      <c r="B33" s="145" t="s">
        <v>133</v>
      </c>
      <c r="C33" s="103"/>
      <c r="D33" s="103"/>
      <c r="E33" s="104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x14ac:dyDescent="0.2">
      <c r="A34" s="130"/>
      <c r="B34" s="154" t="s">
        <v>134</v>
      </c>
      <c r="C34" s="103">
        <v>-2716</v>
      </c>
      <c r="D34" s="103">
        <v>-3090</v>
      </c>
      <c r="E34" s="104">
        <v>-3250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:26" x14ac:dyDescent="0.2">
      <c r="A35" s="130"/>
      <c r="B35" s="141" t="s">
        <v>135</v>
      </c>
      <c r="C35" s="103">
        <v>-1702</v>
      </c>
      <c r="D35" s="103" t="s">
        <v>74</v>
      </c>
      <c r="E35" s="104">
        <v>-65</v>
      </c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:26" x14ac:dyDescent="0.2">
      <c r="A36" s="130"/>
      <c r="B36" s="141" t="s">
        <v>136</v>
      </c>
      <c r="C36" s="103" t="s">
        <v>74</v>
      </c>
      <c r="D36" s="103" t="s">
        <v>74</v>
      </c>
      <c r="E36" s="104" t="s">
        <v>74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x14ac:dyDescent="0.2">
      <c r="A37" s="130"/>
      <c r="B37" s="141"/>
      <c r="C37" s="103"/>
      <c r="D37" s="103"/>
      <c r="E37" s="104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:26" x14ac:dyDescent="0.2">
      <c r="A38" s="130"/>
      <c r="B38" s="160" t="s">
        <v>137</v>
      </c>
      <c r="C38" s="109">
        <f t="shared" ref="C38:E38" si="7">SUM(C28:C35)</f>
        <v>28527</v>
      </c>
      <c r="D38" s="162">
        <f t="shared" si="7"/>
        <v>-2858</v>
      </c>
      <c r="E38" s="163">
        <f t="shared" si="7"/>
        <v>-3093</v>
      </c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:26" x14ac:dyDescent="0.2">
      <c r="A39" s="130"/>
      <c r="B39" s="141"/>
      <c r="C39" s="103"/>
      <c r="D39" s="103"/>
      <c r="E39" s="104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spans="1:26" x14ac:dyDescent="0.2">
      <c r="A40" s="130"/>
      <c r="B40" s="141"/>
      <c r="C40" s="103"/>
      <c r="D40" s="103"/>
      <c r="E40" s="104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spans="1:26" x14ac:dyDescent="0.2">
      <c r="A41" s="130"/>
      <c r="B41" s="161" t="s">
        <v>138</v>
      </c>
      <c r="C41" s="147"/>
      <c r="D41" s="147"/>
      <c r="E41" s="148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spans="1:26" x14ac:dyDescent="0.2">
      <c r="A42" s="130"/>
      <c r="B42" s="141"/>
      <c r="C42" s="103"/>
      <c r="D42" s="103"/>
      <c r="E42" s="104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spans="1:26" x14ac:dyDescent="0.2">
      <c r="A43" s="130"/>
      <c r="B43" s="141" t="s">
        <v>139</v>
      </c>
      <c r="C43" s="103" t="s">
        <v>74</v>
      </c>
      <c r="D43" s="103">
        <v>1150</v>
      </c>
      <c r="E43" s="104" t="s">
        <v>74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spans="1:26" x14ac:dyDescent="0.2">
      <c r="A44" s="130"/>
      <c r="B44" s="141" t="s">
        <v>140</v>
      </c>
      <c r="C44" s="103">
        <v>150</v>
      </c>
      <c r="D44" s="103" t="s">
        <v>74</v>
      </c>
      <c r="E44" s="104" t="s">
        <v>74</v>
      </c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spans="1:26" x14ac:dyDescent="0.2">
      <c r="A45" s="130"/>
      <c r="B45" s="141" t="s">
        <v>141</v>
      </c>
      <c r="C45" s="103">
        <v>-1150</v>
      </c>
      <c r="D45" s="103" t="s">
        <v>74</v>
      </c>
      <c r="E45" s="104">
        <v>-3152</v>
      </c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spans="1:26" x14ac:dyDescent="0.2">
      <c r="A46" s="130"/>
      <c r="B46" s="141" t="s">
        <v>142</v>
      </c>
      <c r="C46" s="103">
        <v>-231</v>
      </c>
      <c r="D46" s="103" t="s">
        <v>74</v>
      </c>
      <c r="E46" s="104">
        <v>-622</v>
      </c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spans="1:26" x14ac:dyDescent="0.2">
      <c r="A47" s="130"/>
      <c r="B47" s="141" t="s">
        <v>143</v>
      </c>
      <c r="C47" s="103">
        <v>-19468</v>
      </c>
      <c r="D47" s="103">
        <v>-2434</v>
      </c>
      <c r="E47" s="104" t="s">
        <v>74</v>
      </c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spans="1:26" x14ac:dyDescent="0.2">
      <c r="A48" s="130"/>
      <c r="B48" s="141" t="s">
        <v>144</v>
      </c>
      <c r="C48" s="103">
        <v>-3989</v>
      </c>
      <c r="D48" s="103">
        <v>-4468</v>
      </c>
      <c r="E48" s="104">
        <v>-4395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spans="1:26" x14ac:dyDescent="0.2">
      <c r="A49" s="130"/>
      <c r="B49" s="141" t="s">
        <v>145</v>
      </c>
      <c r="C49" s="103">
        <v>-115</v>
      </c>
      <c r="D49" s="103">
        <v>-259</v>
      </c>
      <c r="E49" s="104">
        <v>-354</v>
      </c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spans="1:26" x14ac:dyDescent="0.2">
      <c r="A50" s="130"/>
      <c r="B50" s="141"/>
      <c r="C50" s="103"/>
      <c r="D50" s="103"/>
      <c r="E50" s="104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spans="1:26" x14ac:dyDescent="0.2">
      <c r="A51" s="130"/>
      <c r="B51" s="160" t="s">
        <v>146</v>
      </c>
      <c r="C51" s="162">
        <f>SUM(C44:C49)</f>
        <v>-24803</v>
      </c>
      <c r="D51" s="162">
        <f t="shared" ref="D51:E51" si="8">SUM(D43:D49)</f>
        <v>-6011</v>
      </c>
      <c r="E51" s="163">
        <f t="shared" si="8"/>
        <v>-8523</v>
      </c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spans="1:26" x14ac:dyDescent="0.2">
      <c r="A52" s="130"/>
      <c r="B52" s="141"/>
      <c r="C52" s="103"/>
      <c r="D52" s="103"/>
      <c r="E52" s="104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spans="1:26" x14ac:dyDescent="0.2">
      <c r="A53" s="130"/>
      <c r="B53" s="141"/>
      <c r="C53" s="103"/>
      <c r="D53" s="103"/>
      <c r="E53" s="104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spans="1:26" x14ac:dyDescent="0.2">
      <c r="A54" s="130"/>
      <c r="B54" s="145" t="s">
        <v>108</v>
      </c>
      <c r="C54" s="109">
        <f t="shared" ref="C54:E54" si="9">SUM(C51+C38+C22)</f>
        <v>9103</v>
      </c>
      <c r="D54" s="109">
        <f t="shared" si="9"/>
        <v>649</v>
      </c>
      <c r="E54" s="110">
        <f t="shared" si="9"/>
        <v>5527</v>
      </c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spans="1:26" x14ac:dyDescent="0.2">
      <c r="A55" s="130"/>
      <c r="B55" s="160" t="s">
        <v>147</v>
      </c>
      <c r="C55" s="103" t="s">
        <v>74</v>
      </c>
      <c r="D55" s="103" t="s">
        <v>74</v>
      </c>
      <c r="E55" s="104" t="s">
        <v>74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spans="1:26" x14ac:dyDescent="0.2">
      <c r="A56" s="130"/>
      <c r="B56" s="160" t="s">
        <v>148</v>
      </c>
      <c r="C56" s="119">
        <v>10284</v>
      </c>
      <c r="D56" s="119">
        <f t="shared" ref="D56:E56" si="10">D57-D54</f>
        <v>9635</v>
      </c>
      <c r="E56" s="122">
        <f t="shared" si="10"/>
        <v>4108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spans="1:26" x14ac:dyDescent="0.2">
      <c r="A57" s="130"/>
      <c r="B57" s="164" t="s">
        <v>149</v>
      </c>
      <c r="C57" s="165">
        <f>C56+C54</f>
        <v>19387</v>
      </c>
      <c r="D57" s="165">
        <v>10284</v>
      </c>
      <c r="E57" s="166">
        <v>9635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spans="1:26" x14ac:dyDescent="0.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spans="1:26" x14ac:dyDescent="0.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spans="1:26" x14ac:dyDescent="0.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spans="1:26" x14ac:dyDescent="0.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spans="1:26" x14ac:dyDescent="0.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spans="1:26" x14ac:dyDescent="0.2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spans="1:26" x14ac:dyDescent="0.2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spans="1:26" x14ac:dyDescent="0.2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spans="1:26" x14ac:dyDescent="0.2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spans="1:26" x14ac:dyDescent="0.2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spans="1:26" x14ac:dyDescent="0.2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spans="1:26" x14ac:dyDescent="0.2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spans="1:26" x14ac:dyDescent="0.2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spans="1:26" x14ac:dyDescent="0.2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spans="1:26" x14ac:dyDescent="0.2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spans="1:26" x14ac:dyDescent="0.2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spans="1:26" x14ac:dyDescent="0.2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spans="1:26" x14ac:dyDescent="0.2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spans="1:26" x14ac:dyDescent="0.2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spans="1:26" x14ac:dyDescent="0.2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spans="1:26" x14ac:dyDescent="0.2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spans="1:26" x14ac:dyDescent="0.2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spans="1:26" x14ac:dyDescent="0.2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spans="1:26" x14ac:dyDescent="0.2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spans="1:26" x14ac:dyDescent="0.2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spans="1:26" x14ac:dyDescent="0.2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spans="1:26" x14ac:dyDescent="0.2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spans="1:26" x14ac:dyDescent="0.2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spans="1:26" x14ac:dyDescent="0.2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spans="1:26" x14ac:dyDescent="0.2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spans="1:26" x14ac:dyDescent="0.2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spans="1:26" x14ac:dyDescent="0.2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spans="1:26" x14ac:dyDescent="0.2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spans="1:26" x14ac:dyDescent="0.2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spans="1:26" x14ac:dyDescent="0.2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spans="1:26" x14ac:dyDescent="0.2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spans="1:26" x14ac:dyDescent="0.2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spans="1:26" x14ac:dyDescent="0.2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spans="1:26" x14ac:dyDescent="0.2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spans="1:26" x14ac:dyDescent="0.2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spans="1:26" x14ac:dyDescent="0.2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spans="1:26" x14ac:dyDescent="0.2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spans="1:26" x14ac:dyDescent="0.2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spans="1:26" x14ac:dyDescent="0.2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spans="1:26" x14ac:dyDescent="0.2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spans="1:26" x14ac:dyDescent="0.2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spans="1:26" x14ac:dyDescent="0.2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spans="1:26" x14ac:dyDescent="0.2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spans="1:26" x14ac:dyDescent="0.2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spans="1:26" x14ac:dyDescent="0.2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spans="1:26" x14ac:dyDescent="0.2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spans="1:26" x14ac:dyDescent="0.2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spans="1:26" x14ac:dyDescent="0.2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spans="1:26" x14ac:dyDescent="0.2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spans="1:26" x14ac:dyDescent="0.2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spans="1:26" x14ac:dyDescent="0.2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spans="1:26" x14ac:dyDescent="0.2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spans="1:26" x14ac:dyDescent="0.2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spans="1:26" x14ac:dyDescent="0.2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spans="1:26" x14ac:dyDescent="0.2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spans="1:26" x14ac:dyDescent="0.2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spans="1:26" x14ac:dyDescent="0.2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spans="1:26" x14ac:dyDescent="0.2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spans="1:26" x14ac:dyDescent="0.2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spans="1:26" x14ac:dyDescent="0.2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spans="1:26" x14ac:dyDescent="0.2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spans="1:26" x14ac:dyDescent="0.2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spans="1:26" x14ac:dyDescent="0.2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spans="1:26" x14ac:dyDescent="0.2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spans="1:26" x14ac:dyDescent="0.2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spans="1:26" x14ac:dyDescent="0.2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spans="1:26" x14ac:dyDescent="0.2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spans="1:26" x14ac:dyDescent="0.2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spans="1:26" x14ac:dyDescent="0.2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spans="1:26" x14ac:dyDescent="0.2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spans="1:26" x14ac:dyDescent="0.2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spans="1:26" x14ac:dyDescent="0.2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spans="1:26" x14ac:dyDescent="0.2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spans="1:26" x14ac:dyDescent="0.2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spans="1:26" x14ac:dyDescent="0.2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spans="1:26" x14ac:dyDescent="0.2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spans="1:26" x14ac:dyDescent="0.2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spans="1:26" x14ac:dyDescent="0.2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spans="1:26" x14ac:dyDescent="0.2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spans="1:26" x14ac:dyDescent="0.2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spans="1:26" x14ac:dyDescent="0.2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spans="1:26" x14ac:dyDescent="0.2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spans="1:26" x14ac:dyDescent="0.2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spans="1:26" x14ac:dyDescent="0.2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spans="1:26" x14ac:dyDescent="0.2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spans="1:26" x14ac:dyDescent="0.2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spans="1:26" x14ac:dyDescent="0.2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spans="1:26" x14ac:dyDescent="0.2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spans="1:26" x14ac:dyDescent="0.2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spans="1:26" x14ac:dyDescent="0.2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spans="1:26" x14ac:dyDescent="0.2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spans="1:26" x14ac:dyDescent="0.2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spans="1:26" x14ac:dyDescent="0.2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spans="1:26" x14ac:dyDescent="0.2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spans="1:26" x14ac:dyDescent="0.2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spans="1:26" x14ac:dyDescent="0.2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spans="1:26" x14ac:dyDescent="0.2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spans="1:26" x14ac:dyDescent="0.2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spans="1:26" x14ac:dyDescent="0.2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spans="1:26" x14ac:dyDescent="0.2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spans="1:26" x14ac:dyDescent="0.2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spans="1:26" x14ac:dyDescent="0.2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spans="1:26" x14ac:dyDescent="0.2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spans="1:26" x14ac:dyDescent="0.2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spans="1:26" x14ac:dyDescent="0.2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spans="1:26" x14ac:dyDescent="0.2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spans="1:26" x14ac:dyDescent="0.2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spans="1:26" x14ac:dyDescent="0.2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spans="1:26" x14ac:dyDescent="0.2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spans="1:26" x14ac:dyDescent="0.2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spans="1:26" x14ac:dyDescent="0.2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spans="1:26" x14ac:dyDescent="0.2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spans="1:26" x14ac:dyDescent="0.2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spans="1:26" x14ac:dyDescent="0.2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spans="1:26" x14ac:dyDescent="0.2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spans="1:26" x14ac:dyDescent="0.2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spans="1:26" x14ac:dyDescent="0.2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spans="1:26" x14ac:dyDescent="0.2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spans="1:26" x14ac:dyDescent="0.2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spans="1:26" x14ac:dyDescent="0.2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spans="1:26" x14ac:dyDescent="0.2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spans="1:26" x14ac:dyDescent="0.2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spans="1:26" x14ac:dyDescent="0.2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spans="1:26" x14ac:dyDescent="0.2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spans="1:26" x14ac:dyDescent="0.2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spans="1:26" x14ac:dyDescent="0.2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spans="1:26" x14ac:dyDescent="0.2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spans="1:26" x14ac:dyDescent="0.2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spans="1:26" x14ac:dyDescent="0.2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spans="1:26" x14ac:dyDescent="0.2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spans="1:26" x14ac:dyDescent="0.2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spans="1:26" x14ac:dyDescent="0.2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spans="1:26" x14ac:dyDescent="0.2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spans="1:26" x14ac:dyDescent="0.2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spans="1:26" x14ac:dyDescent="0.2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spans="1:26" x14ac:dyDescent="0.2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spans="1:26" x14ac:dyDescent="0.2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spans="1:26" x14ac:dyDescent="0.2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spans="1:26" x14ac:dyDescent="0.2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spans="1:26" x14ac:dyDescent="0.2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spans="1:26" x14ac:dyDescent="0.2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spans="1:26" x14ac:dyDescent="0.2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spans="1:26" x14ac:dyDescent="0.2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spans="1:26" x14ac:dyDescent="0.2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spans="1:26" x14ac:dyDescent="0.2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spans="1:26" x14ac:dyDescent="0.2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spans="1:26" x14ac:dyDescent="0.2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spans="1:26" x14ac:dyDescent="0.2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spans="1:26" x14ac:dyDescent="0.2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spans="1:26" x14ac:dyDescent="0.2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spans="1:26" x14ac:dyDescent="0.2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spans="1:26" x14ac:dyDescent="0.2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spans="1:26" x14ac:dyDescent="0.2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spans="1:26" x14ac:dyDescent="0.2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spans="1:26" x14ac:dyDescent="0.2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spans="1:26" x14ac:dyDescent="0.2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spans="1:26" x14ac:dyDescent="0.2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spans="1:26" x14ac:dyDescent="0.2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spans="1:26" x14ac:dyDescent="0.2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spans="1:26" x14ac:dyDescent="0.2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spans="1:26" x14ac:dyDescent="0.2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spans="1:26" x14ac:dyDescent="0.2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spans="1:26" x14ac:dyDescent="0.2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spans="1:26" x14ac:dyDescent="0.2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spans="1:26" x14ac:dyDescent="0.2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spans="1:26" x14ac:dyDescent="0.2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spans="1:26" x14ac:dyDescent="0.2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spans="1:26" x14ac:dyDescent="0.2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spans="1:26" x14ac:dyDescent="0.2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spans="1:26" x14ac:dyDescent="0.2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spans="1:26" x14ac:dyDescent="0.2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spans="1:26" x14ac:dyDescent="0.2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spans="1:26" x14ac:dyDescent="0.2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spans="1:26" x14ac:dyDescent="0.2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spans="1:26" x14ac:dyDescent="0.2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spans="1:26" x14ac:dyDescent="0.2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spans="1:26" x14ac:dyDescent="0.2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spans="1:26" x14ac:dyDescent="0.2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spans="1:26" x14ac:dyDescent="0.2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spans="1:26" x14ac:dyDescent="0.2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spans="1:26" x14ac:dyDescent="0.2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spans="1:26" x14ac:dyDescent="0.2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spans="1:26" x14ac:dyDescent="0.2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spans="1:26" x14ac:dyDescent="0.2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spans="1:26" x14ac:dyDescent="0.2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spans="1:26" x14ac:dyDescent="0.2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spans="1:26" x14ac:dyDescent="0.2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spans="1:26" x14ac:dyDescent="0.2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spans="1:26" x14ac:dyDescent="0.2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spans="1:26" x14ac:dyDescent="0.2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spans="1:26" x14ac:dyDescent="0.2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spans="1:26" x14ac:dyDescent="0.2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spans="1:26" x14ac:dyDescent="0.2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spans="1:26" x14ac:dyDescent="0.2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spans="1:26" x14ac:dyDescent="0.2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spans="1:26" x14ac:dyDescent="0.2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spans="1:26" x14ac:dyDescent="0.2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spans="1:26" x14ac:dyDescent="0.2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spans="1:26" x14ac:dyDescent="0.2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spans="1:26" x14ac:dyDescent="0.2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spans="1:26" x14ac:dyDescent="0.2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spans="1:26" x14ac:dyDescent="0.2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spans="1:26" x14ac:dyDescent="0.2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spans="1:26" x14ac:dyDescent="0.2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spans="1:26" x14ac:dyDescent="0.2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spans="1:26" x14ac:dyDescent="0.2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spans="1:26" x14ac:dyDescent="0.2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spans="1:26" x14ac:dyDescent="0.2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spans="1:26" x14ac:dyDescent="0.2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spans="1:26" x14ac:dyDescent="0.2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spans="1:26" x14ac:dyDescent="0.2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spans="1:26" x14ac:dyDescent="0.2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spans="1:26" x14ac:dyDescent="0.2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spans="1:26" x14ac:dyDescent="0.2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spans="1:26" x14ac:dyDescent="0.2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spans="1:26" x14ac:dyDescent="0.2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spans="1:26" x14ac:dyDescent="0.2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spans="1:26" x14ac:dyDescent="0.2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spans="1:26" x14ac:dyDescent="0.2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spans="1:26" x14ac:dyDescent="0.2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spans="1:26" x14ac:dyDescent="0.2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spans="1:26" x14ac:dyDescent="0.2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spans="1:26" x14ac:dyDescent="0.2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spans="1:26" x14ac:dyDescent="0.2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spans="1:26" x14ac:dyDescent="0.2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spans="1:26" x14ac:dyDescent="0.2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spans="1:26" x14ac:dyDescent="0.2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spans="1:26" x14ac:dyDescent="0.2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spans="1:26" x14ac:dyDescent="0.2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spans="1:26" x14ac:dyDescent="0.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spans="1:26" x14ac:dyDescent="0.2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spans="1:26" x14ac:dyDescent="0.2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spans="1:26" x14ac:dyDescent="0.2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spans="1:26" x14ac:dyDescent="0.2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spans="1:26" x14ac:dyDescent="0.2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spans="1:26" x14ac:dyDescent="0.2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spans="1:26" x14ac:dyDescent="0.2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spans="1:26" x14ac:dyDescent="0.2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spans="1:26" x14ac:dyDescent="0.2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spans="1:26" x14ac:dyDescent="0.2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spans="1:26" x14ac:dyDescent="0.2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spans="1:26" x14ac:dyDescent="0.2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spans="1:26" x14ac:dyDescent="0.2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spans="1:26" x14ac:dyDescent="0.2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spans="1:26" x14ac:dyDescent="0.2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spans="1:26" x14ac:dyDescent="0.2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spans="1:26" x14ac:dyDescent="0.2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spans="1:26" x14ac:dyDescent="0.2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spans="1:26" x14ac:dyDescent="0.2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spans="1:26" x14ac:dyDescent="0.2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spans="1:26" x14ac:dyDescent="0.2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spans="1:26" x14ac:dyDescent="0.2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spans="1:26" x14ac:dyDescent="0.2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spans="1:26" x14ac:dyDescent="0.2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spans="1:26" x14ac:dyDescent="0.2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spans="1:26" x14ac:dyDescent="0.2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spans="1:26" x14ac:dyDescent="0.2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spans="1:26" x14ac:dyDescent="0.2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spans="1:26" x14ac:dyDescent="0.2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spans="1:26" x14ac:dyDescent="0.2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spans="1:26" x14ac:dyDescent="0.2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spans="1:26" x14ac:dyDescent="0.2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spans="1:26" x14ac:dyDescent="0.2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spans="1:26" x14ac:dyDescent="0.2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spans="1:26" x14ac:dyDescent="0.2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spans="1:26" x14ac:dyDescent="0.2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spans="1:26" x14ac:dyDescent="0.2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spans="1:26" x14ac:dyDescent="0.2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spans="1:26" x14ac:dyDescent="0.2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spans="1:26" x14ac:dyDescent="0.2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spans="1:26" x14ac:dyDescent="0.2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spans="1:26" x14ac:dyDescent="0.2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spans="1:26" x14ac:dyDescent="0.2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spans="1:26" x14ac:dyDescent="0.2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spans="1:26" x14ac:dyDescent="0.2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spans="1:26" x14ac:dyDescent="0.2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spans="1:26" x14ac:dyDescent="0.2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spans="1:26" x14ac:dyDescent="0.2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spans="1:26" x14ac:dyDescent="0.2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spans="1:26" x14ac:dyDescent="0.2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spans="1:26" x14ac:dyDescent="0.2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spans="1:26" x14ac:dyDescent="0.2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spans="1:26" x14ac:dyDescent="0.2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spans="1:26" x14ac:dyDescent="0.2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spans="1:26" x14ac:dyDescent="0.2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spans="1:26" x14ac:dyDescent="0.2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spans="1:26" x14ac:dyDescent="0.2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spans="1:26" x14ac:dyDescent="0.2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spans="1:26" x14ac:dyDescent="0.2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spans="1:26" x14ac:dyDescent="0.2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spans="1:26" x14ac:dyDescent="0.2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spans="1:26" x14ac:dyDescent="0.2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spans="1:26" x14ac:dyDescent="0.2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spans="1:26" x14ac:dyDescent="0.2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spans="1:26" x14ac:dyDescent="0.2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spans="1:26" x14ac:dyDescent="0.2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spans="1:26" x14ac:dyDescent="0.2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spans="1:26" x14ac:dyDescent="0.2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spans="1:26" x14ac:dyDescent="0.2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spans="1:26" x14ac:dyDescent="0.2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spans="1:26" x14ac:dyDescent="0.2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spans="1:26" x14ac:dyDescent="0.2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spans="1:26" x14ac:dyDescent="0.2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spans="1:26" x14ac:dyDescent="0.2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spans="1:26" x14ac:dyDescent="0.2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spans="1:26" x14ac:dyDescent="0.2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spans="1:26" x14ac:dyDescent="0.2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spans="1:26" x14ac:dyDescent="0.2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spans="1:26" x14ac:dyDescent="0.2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spans="1:26" x14ac:dyDescent="0.2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spans="1:26" x14ac:dyDescent="0.2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spans="1:26" x14ac:dyDescent="0.2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spans="1:26" x14ac:dyDescent="0.2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spans="1:26" x14ac:dyDescent="0.2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spans="1:26" x14ac:dyDescent="0.2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spans="1:26" x14ac:dyDescent="0.2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spans="1:26" x14ac:dyDescent="0.2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spans="1:26" x14ac:dyDescent="0.2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spans="1:26" x14ac:dyDescent="0.2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spans="1:26" x14ac:dyDescent="0.2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spans="1:26" x14ac:dyDescent="0.2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spans="1:26" x14ac:dyDescent="0.2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spans="1:26" x14ac:dyDescent="0.2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spans="1:26" x14ac:dyDescent="0.2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spans="1:26" x14ac:dyDescent="0.2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spans="1:26" x14ac:dyDescent="0.2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spans="1:26" x14ac:dyDescent="0.2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spans="1:26" x14ac:dyDescent="0.2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spans="1:26" x14ac:dyDescent="0.2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spans="1:26" x14ac:dyDescent="0.2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spans="1:26" x14ac:dyDescent="0.2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spans="1:26" x14ac:dyDescent="0.2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spans="1:26" x14ac:dyDescent="0.2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spans="1:26" x14ac:dyDescent="0.2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spans="1:26" x14ac:dyDescent="0.2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spans="1:26" x14ac:dyDescent="0.2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spans="1:26" x14ac:dyDescent="0.2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spans="1:26" x14ac:dyDescent="0.2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spans="1:26" x14ac:dyDescent="0.2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spans="1:26" x14ac:dyDescent="0.2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spans="1:26" x14ac:dyDescent="0.2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spans="1:26" x14ac:dyDescent="0.2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spans="1:26" x14ac:dyDescent="0.2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spans="1:26" x14ac:dyDescent="0.2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spans="1:26" x14ac:dyDescent="0.2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spans="1:26" x14ac:dyDescent="0.2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spans="1:26" x14ac:dyDescent="0.2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spans="1:26" x14ac:dyDescent="0.2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spans="1:26" x14ac:dyDescent="0.2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spans="1:26" x14ac:dyDescent="0.2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spans="1:26" x14ac:dyDescent="0.2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spans="1:26" x14ac:dyDescent="0.2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spans="1:26" x14ac:dyDescent="0.2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spans="1:26" x14ac:dyDescent="0.2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spans="1:26" x14ac:dyDescent="0.2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spans="1:26" x14ac:dyDescent="0.2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spans="1:26" x14ac:dyDescent="0.2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spans="1:26" x14ac:dyDescent="0.2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spans="1:26" x14ac:dyDescent="0.2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spans="1:26" x14ac:dyDescent="0.2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spans="1:26" x14ac:dyDescent="0.2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spans="1:26" x14ac:dyDescent="0.2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spans="1:26" x14ac:dyDescent="0.2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spans="1:26" x14ac:dyDescent="0.2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spans="1:26" x14ac:dyDescent="0.2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spans="1:26" x14ac:dyDescent="0.2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spans="1:26" x14ac:dyDescent="0.2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spans="1:26" x14ac:dyDescent="0.2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spans="1:26" x14ac:dyDescent="0.2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spans="1:26" x14ac:dyDescent="0.2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spans="1:26" x14ac:dyDescent="0.2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spans="1:26" x14ac:dyDescent="0.2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spans="1:26" x14ac:dyDescent="0.2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spans="1:26" x14ac:dyDescent="0.2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spans="1:26" x14ac:dyDescent="0.2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spans="1:26" x14ac:dyDescent="0.2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spans="1:26" x14ac:dyDescent="0.2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spans="1:26" x14ac:dyDescent="0.2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spans="1:26" x14ac:dyDescent="0.2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spans="1:26" x14ac:dyDescent="0.2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spans="1:26" x14ac:dyDescent="0.2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spans="1:26" x14ac:dyDescent="0.2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spans="1:26" x14ac:dyDescent="0.2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spans="1:26" x14ac:dyDescent="0.2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spans="1:26" x14ac:dyDescent="0.2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spans="1:26" x14ac:dyDescent="0.2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spans="1:26" x14ac:dyDescent="0.2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spans="1:26" x14ac:dyDescent="0.2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spans="1:26" x14ac:dyDescent="0.2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spans="1:26" x14ac:dyDescent="0.2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spans="1:26" x14ac:dyDescent="0.2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spans="1:26" x14ac:dyDescent="0.2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spans="1:26" x14ac:dyDescent="0.2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spans="1:26" x14ac:dyDescent="0.2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spans="1:26" x14ac:dyDescent="0.2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spans="1:26" x14ac:dyDescent="0.2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spans="1:26" x14ac:dyDescent="0.2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spans="1:26" x14ac:dyDescent="0.2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spans="1:26" x14ac:dyDescent="0.2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spans="1:26" x14ac:dyDescent="0.2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spans="1:26" x14ac:dyDescent="0.2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spans="1:26" x14ac:dyDescent="0.2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spans="1:26" x14ac:dyDescent="0.2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spans="1:26" x14ac:dyDescent="0.2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spans="1:26" x14ac:dyDescent="0.2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spans="1:26" x14ac:dyDescent="0.2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spans="1:26" x14ac:dyDescent="0.2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spans="1:26" x14ac:dyDescent="0.2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spans="1:26" x14ac:dyDescent="0.2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spans="1:26" x14ac:dyDescent="0.2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spans="1:26" x14ac:dyDescent="0.2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spans="1:26" x14ac:dyDescent="0.2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spans="1:26" x14ac:dyDescent="0.2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spans="1:26" x14ac:dyDescent="0.2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spans="1:26" x14ac:dyDescent="0.2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spans="1:26" x14ac:dyDescent="0.2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spans="1:26" x14ac:dyDescent="0.2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spans="1:26" x14ac:dyDescent="0.2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spans="1:26" x14ac:dyDescent="0.2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spans="1:26" x14ac:dyDescent="0.2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spans="1:26" x14ac:dyDescent="0.2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spans="1:26" x14ac:dyDescent="0.2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spans="1:26" x14ac:dyDescent="0.2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spans="1:26" x14ac:dyDescent="0.2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spans="1:26" x14ac:dyDescent="0.2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spans="1:26" x14ac:dyDescent="0.2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spans="1:26" x14ac:dyDescent="0.2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spans="1:26" x14ac:dyDescent="0.2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spans="1:26" x14ac:dyDescent="0.2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spans="1:26" x14ac:dyDescent="0.2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spans="1:26" x14ac:dyDescent="0.2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spans="1:26" x14ac:dyDescent="0.2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spans="1:26" x14ac:dyDescent="0.2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spans="1:26" x14ac:dyDescent="0.2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spans="1:26" x14ac:dyDescent="0.2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spans="1:26" x14ac:dyDescent="0.2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spans="1:26" x14ac:dyDescent="0.2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spans="1:26" x14ac:dyDescent="0.2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spans="1:26" x14ac:dyDescent="0.2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spans="1:26" x14ac:dyDescent="0.2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spans="1:26" x14ac:dyDescent="0.2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spans="1:26" x14ac:dyDescent="0.2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spans="1:26" x14ac:dyDescent="0.2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spans="1:26" x14ac:dyDescent="0.2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spans="1:26" x14ac:dyDescent="0.2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spans="1:26" x14ac:dyDescent="0.2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spans="1:26" x14ac:dyDescent="0.2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spans="1:26" x14ac:dyDescent="0.2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spans="1:26" x14ac:dyDescent="0.2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spans="1:26" x14ac:dyDescent="0.2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spans="1:26" x14ac:dyDescent="0.2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spans="1:26" x14ac:dyDescent="0.2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spans="1:26" x14ac:dyDescent="0.2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spans="1:26" x14ac:dyDescent="0.2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spans="1:26" x14ac:dyDescent="0.2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spans="1:26" x14ac:dyDescent="0.2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spans="1:26" x14ac:dyDescent="0.2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spans="1:26" x14ac:dyDescent="0.2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spans="1:26" x14ac:dyDescent="0.2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spans="1:26" x14ac:dyDescent="0.2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spans="1:26" x14ac:dyDescent="0.2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spans="1:26" x14ac:dyDescent="0.2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spans="1:26" x14ac:dyDescent="0.2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spans="1:26" x14ac:dyDescent="0.2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spans="1:26" x14ac:dyDescent="0.2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spans="1:26" x14ac:dyDescent="0.2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spans="1:26" x14ac:dyDescent="0.2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spans="1:26" x14ac:dyDescent="0.2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spans="1:26" x14ac:dyDescent="0.2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spans="1:26" x14ac:dyDescent="0.2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spans="1:26" x14ac:dyDescent="0.2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spans="1:26" x14ac:dyDescent="0.2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spans="1:26" x14ac:dyDescent="0.2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spans="1:26" x14ac:dyDescent="0.2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spans="1:26" x14ac:dyDescent="0.2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spans="1:26" x14ac:dyDescent="0.2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spans="1:26" x14ac:dyDescent="0.2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spans="1:26" x14ac:dyDescent="0.2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spans="1:26" x14ac:dyDescent="0.2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spans="1:26" x14ac:dyDescent="0.2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spans="1:26" x14ac:dyDescent="0.2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spans="1:26" x14ac:dyDescent="0.2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spans="1:26" x14ac:dyDescent="0.2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spans="1:26" x14ac:dyDescent="0.2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spans="1:26" x14ac:dyDescent="0.2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spans="1:26" x14ac:dyDescent="0.2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spans="1:26" x14ac:dyDescent="0.2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spans="1:26" x14ac:dyDescent="0.2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spans="1:26" x14ac:dyDescent="0.2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spans="1:26" x14ac:dyDescent="0.2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spans="1:26" x14ac:dyDescent="0.2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spans="1:26" x14ac:dyDescent="0.2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spans="1:26" x14ac:dyDescent="0.2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spans="1:26" x14ac:dyDescent="0.2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spans="1:26" x14ac:dyDescent="0.2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spans="1:26" x14ac:dyDescent="0.2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spans="1:26" x14ac:dyDescent="0.2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spans="1:26" x14ac:dyDescent="0.2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spans="1:26" x14ac:dyDescent="0.2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spans="1:26" x14ac:dyDescent="0.2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spans="1:26" x14ac:dyDescent="0.2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spans="1:26" x14ac:dyDescent="0.2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spans="1:26" x14ac:dyDescent="0.2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spans="1:26" x14ac:dyDescent="0.2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spans="1:26" x14ac:dyDescent="0.2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spans="1:26" x14ac:dyDescent="0.2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spans="1:26" x14ac:dyDescent="0.2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spans="1:26" x14ac:dyDescent="0.2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spans="1:26" x14ac:dyDescent="0.2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spans="1:26" x14ac:dyDescent="0.2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spans="1:26" x14ac:dyDescent="0.2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spans="1:26" x14ac:dyDescent="0.2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spans="1:26" x14ac:dyDescent="0.2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spans="1:26" x14ac:dyDescent="0.2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spans="1:26" x14ac:dyDescent="0.2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spans="1:26" x14ac:dyDescent="0.2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spans="1:26" x14ac:dyDescent="0.2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spans="1:26" x14ac:dyDescent="0.2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spans="1:26" x14ac:dyDescent="0.2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spans="1:26" x14ac:dyDescent="0.2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spans="1:26" x14ac:dyDescent="0.2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spans="1:26" x14ac:dyDescent="0.2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spans="1:26" x14ac:dyDescent="0.2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spans="1:26" x14ac:dyDescent="0.2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spans="1:26" x14ac:dyDescent="0.2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spans="1:26" x14ac:dyDescent="0.2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spans="1:26" x14ac:dyDescent="0.2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spans="1:26" x14ac:dyDescent="0.2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spans="1:26" x14ac:dyDescent="0.2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spans="1:26" x14ac:dyDescent="0.2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spans="1:26" x14ac:dyDescent="0.2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spans="1:26" x14ac:dyDescent="0.2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spans="1:26" x14ac:dyDescent="0.2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spans="1:26" x14ac:dyDescent="0.2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spans="1:26" x14ac:dyDescent="0.2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spans="1:26" x14ac:dyDescent="0.2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spans="1:26" x14ac:dyDescent="0.2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spans="1:26" x14ac:dyDescent="0.2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spans="1:26" x14ac:dyDescent="0.2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spans="1:26" x14ac:dyDescent="0.2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spans="1:26" x14ac:dyDescent="0.2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spans="1:26" x14ac:dyDescent="0.2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spans="1:26" x14ac:dyDescent="0.2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spans="1:26" x14ac:dyDescent="0.2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spans="1:26" x14ac:dyDescent="0.2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spans="1:26" x14ac:dyDescent="0.2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spans="1:26" x14ac:dyDescent="0.2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spans="1:26" x14ac:dyDescent="0.2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spans="1:26" x14ac:dyDescent="0.2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spans="1:26" x14ac:dyDescent="0.2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spans="1:26" x14ac:dyDescent="0.2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spans="1:26" x14ac:dyDescent="0.2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spans="1:26" x14ac:dyDescent="0.2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spans="1:26" x14ac:dyDescent="0.2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spans="1:26" x14ac:dyDescent="0.2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spans="1:26" x14ac:dyDescent="0.2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spans="1:26" x14ac:dyDescent="0.2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spans="1:26" x14ac:dyDescent="0.2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spans="1:26" x14ac:dyDescent="0.2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spans="1:26" x14ac:dyDescent="0.2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spans="1:26" x14ac:dyDescent="0.2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spans="1:26" x14ac:dyDescent="0.2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spans="1:26" x14ac:dyDescent="0.2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spans="1:26" x14ac:dyDescent="0.2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spans="1:26" x14ac:dyDescent="0.2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spans="1:26" x14ac:dyDescent="0.2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spans="1:26" x14ac:dyDescent="0.2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spans="1:26" x14ac:dyDescent="0.2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spans="1:26" x14ac:dyDescent="0.2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spans="1:26" x14ac:dyDescent="0.2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spans="1:26" x14ac:dyDescent="0.2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spans="1:26" x14ac:dyDescent="0.2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spans="1:26" x14ac:dyDescent="0.2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spans="1:26" x14ac:dyDescent="0.2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spans="1:26" x14ac:dyDescent="0.2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spans="1:26" x14ac:dyDescent="0.2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spans="1:26" x14ac:dyDescent="0.2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spans="1:26" x14ac:dyDescent="0.2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spans="1:26" x14ac:dyDescent="0.2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spans="1:26" x14ac:dyDescent="0.2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spans="1:26" x14ac:dyDescent="0.2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spans="1:26" x14ac:dyDescent="0.2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spans="1:26" x14ac:dyDescent="0.2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spans="1:26" x14ac:dyDescent="0.2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spans="1:26" x14ac:dyDescent="0.2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spans="1:26" x14ac:dyDescent="0.2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spans="1:26" x14ac:dyDescent="0.2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spans="1:26" x14ac:dyDescent="0.2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spans="1:26" x14ac:dyDescent="0.2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spans="1:26" x14ac:dyDescent="0.2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spans="1:26" x14ac:dyDescent="0.2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spans="1:26" x14ac:dyDescent="0.2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spans="1:26" x14ac:dyDescent="0.2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spans="1:26" x14ac:dyDescent="0.2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spans="1:26" x14ac:dyDescent="0.2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spans="1:26" x14ac:dyDescent="0.2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spans="1:26" x14ac:dyDescent="0.2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spans="1:26" x14ac:dyDescent="0.2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spans="1:26" x14ac:dyDescent="0.2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spans="1:26" x14ac:dyDescent="0.2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spans="1:26" x14ac:dyDescent="0.2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spans="1:26" x14ac:dyDescent="0.2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spans="1:26" x14ac:dyDescent="0.2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x14ac:dyDescent="0.2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spans="1:26" x14ac:dyDescent="0.2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spans="1:26" x14ac:dyDescent="0.2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spans="1:26" x14ac:dyDescent="0.2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spans="1:26" x14ac:dyDescent="0.2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spans="1:26" x14ac:dyDescent="0.2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spans="1:26" x14ac:dyDescent="0.2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spans="1:26" x14ac:dyDescent="0.2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spans="1:26" x14ac:dyDescent="0.2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spans="1:26" x14ac:dyDescent="0.2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spans="1:26" x14ac:dyDescent="0.2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spans="1:26" x14ac:dyDescent="0.2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spans="1:26" x14ac:dyDescent="0.2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spans="1:26" x14ac:dyDescent="0.2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spans="1:26" x14ac:dyDescent="0.2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spans="1:26" x14ac:dyDescent="0.2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spans="1:26" x14ac:dyDescent="0.2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spans="1:26" x14ac:dyDescent="0.2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spans="1:26" x14ac:dyDescent="0.2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spans="1:26" x14ac:dyDescent="0.2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spans="1:26" x14ac:dyDescent="0.2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x14ac:dyDescent="0.2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spans="1:26" x14ac:dyDescent="0.2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spans="1:26" x14ac:dyDescent="0.2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spans="1:26" x14ac:dyDescent="0.2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spans="1:26" x14ac:dyDescent="0.2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spans="1:26" x14ac:dyDescent="0.2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spans="1:26" x14ac:dyDescent="0.2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spans="1:26" x14ac:dyDescent="0.2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spans="1:26" x14ac:dyDescent="0.2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spans="1:26" x14ac:dyDescent="0.2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spans="1:26" x14ac:dyDescent="0.2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spans="1:26" x14ac:dyDescent="0.2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spans="1:26" x14ac:dyDescent="0.2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spans="1:26" x14ac:dyDescent="0.2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x14ac:dyDescent="0.2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spans="1:26" x14ac:dyDescent="0.2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spans="1:26" x14ac:dyDescent="0.2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spans="1:26" x14ac:dyDescent="0.2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spans="1:26" x14ac:dyDescent="0.2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x14ac:dyDescent="0.2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spans="1:26" x14ac:dyDescent="0.2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x14ac:dyDescent="0.2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spans="1:26" x14ac:dyDescent="0.2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spans="1:26" x14ac:dyDescent="0.2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spans="1:26" x14ac:dyDescent="0.2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spans="1:26" x14ac:dyDescent="0.2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spans="1:26" x14ac:dyDescent="0.2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x14ac:dyDescent="0.2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spans="1:26" x14ac:dyDescent="0.2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spans="1:26" x14ac:dyDescent="0.2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spans="1:26" x14ac:dyDescent="0.2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spans="1:26" x14ac:dyDescent="0.2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spans="1:26" x14ac:dyDescent="0.2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spans="1:26" x14ac:dyDescent="0.2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spans="1:26" x14ac:dyDescent="0.2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spans="1:26" x14ac:dyDescent="0.2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spans="1:26" x14ac:dyDescent="0.2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spans="1:26" x14ac:dyDescent="0.2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spans="1:26" x14ac:dyDescent="0.2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spans="1:26" x14ac:dyDescent="0.2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spans="1:26" x14ac:dyDescent="0.2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spans="1:26" x14ac:dyDescent="0.2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spans="1:26" x14ac:dyDescent="0.2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spans="1:26" x14ac:dyDescent="0.2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spans="1:26" x14ac:dyDescent="0.2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spans="1:26" x14ac:dyDescent="0.2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spans="1:26" x14ac:dyDescent="0.2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spans="1:26" x14ac:dyDescent="0.2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spans="1:26" x14ac:dyDescent="0.2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spans="1:26" x14ac:dyDescent="0.2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spans="1:26" x14ac:dyDescent="0.2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spans="1:26" x14ac:dyDescent="0.2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spans="1:26" x14ac:dyDescent="0.2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spans="1:26" x14ac:dyDescent="0.2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spans="1:26" x14ac:dyDescent="0.2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spans="1:26" x14ac:dyDescent="0.2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spans="1:26" x14ac:dyDescent="0.2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spans="1:26" x14ac:dyDescent="0.2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spans="1:26" x14ac:dyDescent="0.2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spans="1:26" x14ac:dyDescent="0.2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spans="1:26" x14ac:dyDescent="0.2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spans="1:26" x14ac:dyDescent="0.2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spans="1:26" x14ac:dyDescent="0.2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spans="1:26" x14ac:dyDescent="0.2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spans="1:26" x14ac:dyDescent="0.2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spans="1:26" x14ac:dyDescent="0.2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spans="1:26" x14ac:dyDescent="0.2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spans="1:26" x14ac:dyDescent="0.2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spans="1:26" x14ac:dyDescent="0.2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spans="1:26" x14ac:dyDescent="0.2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spans="1:26" x14ac:dyDescent="0.2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spans="1:26" x14ac:dyDescent="0.2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spans="1:26" x14ac:dyDescent="0.2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spans="1:26" x14ac:dyDescent="0.2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spans="1:26" x14ac:dyDescent="0.2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spans="1:26" x14ac:dyDescent="0.2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spans="1:26" x14ac:dyDescent="0.2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spans="1:26" x14ac:dyDescent="0.2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spans="1:26" x14ac:dyDescent="0.2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spans="1:26" x14ac:dyDescent="0.2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spans="1:26" x14ac:dyDescent="0.2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spans="1:26" x14ac:dyDescent="0.2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spans="1:26" x14ac:dyDescent="0.2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spans="1:26" x14ac:dyDescent="0.2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spans="1:26" x14ac:dyDescent="0.2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spans="1:26" x14ac:dyDescent="0.2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spans="1:26" x14ac:dyDescent="0.2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spans="1:26" x14ac:dyDescent="0.2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spans="1:26" x14ac:dyDescent="0.2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spans="1:26" x14ac:dyDescent="0.2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spans="1:26" x14ac:dyDescent="0.2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spans="1:26" x14ac:dyDescent="0.2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spans="1:26" x14ac:dyDescent="0.2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spans="1:26" x14ac:dyDescent="0.2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spans="1:26" x14ac:dyDescent="0.2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spans="1:26" x14ac:dyDescent="0.2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spans="1:26" x14ac:dyDescent="0.2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spans="1:26" x14ac:dyDescent="0.2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spans="1:26" x14ac:dyDescent="0.2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spans="1:26" x14ac:dyDescent="0.2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spans="1:26" x14ac:dyDescent="0.2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spans="1:26" x14ac:dyDescent="0.2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spans="1:26" x14ac:dyDescent="0.2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spans="1:26" x14ac:dyDescent="0.2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spans="1:26" x14ac:dyDescent="0.2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spans="1:26" x14ac:dyDescent="0.2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spans="1:26" x14ac:dyDescent="0.2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spans="1:26" x14ac:dyDescent="0.2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spans="1:26" x14ac:dyDescent="0.2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spans="1:26" x14ac:dyDescent="0.2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spans="1:26" x14ac:dyDescent="0.2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spans="1:26" x14ac:dyDescent="0.2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spans="1:26" x14ac:dyDescent="0.2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spans="1:26" x14ac:dyDescent="0.2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spans="1:26" x14ac:dyDescent="0.2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spans="1:26" x14ac:dyDescent="0.2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spans="1:26" x14ac:dyDescent="0.2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spans="1:26" x14ac:dyDescent="0.2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spans="1:26" x14ac:dyDescent="0.2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spans="1:26" x14ac:dyDescent="0.2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spans="1:26" x14ac:dyDescent="0.2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spans="1:26" x14ac:dyDescent="0.2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spans="1:26" x14ac:dyDescent="0.2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spans="1:26" x14ac:dyDescent="0.2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spans="1:26" x14ac:dyDescent="0.2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spans="1:26" x14ac:dyDescent="0.2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spans="1:26" x14ac:dyDescent="0.2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spans="1:26" x14ac:dyDescent="0.2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spans="1:26" x14ac:dyDescent="0.2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spans="1:26" x14ac:dyDescent="0.2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spans="1:26" x14ac:dyDescent="0.2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spans="1:26" x14ac:dyDescent="0.2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spans="1:26" x14ac:dyDescent="0.2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spans="1:26" x14ac:dyDescent="0.2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spans="1:26" x14ac:dyDescent="0.2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spans="1:26" x14ac:dyDescent="0.2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spans="1:26" x14ac:dyDescent="0.2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spans="1:26" x14ac:dyDescent="0.2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spans="1:26" x14ac:dyDescent="0.2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spans="1:26" x14ac:dyDescent="0.2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spans="1:26" x14ac:dyDescent="0.2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spans="1:26" x14ac:dyDescent="0.2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spans="1:26" x14ac:dyDescent="0.2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spans="1:26" x14ac:dyDescent="0.2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spans="1:26" x14ac:dyDescent="0.2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spans="1:26" x14ac:dyDescent="0.2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spans="1:26" x14ac:dyDescent="0.2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spans="1:26" x14ac:dyDescent="0.2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spans="1:26" x14ac:dyDescent="0.2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spans="1:26" x14ac:dyDescent="0.2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spans="1:26" x14ac:dyDescent="0.2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spans="1:26" x14ac:dyDescent="0.2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spans="1:26" x14ac:dyDescent="0.2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spans="1:26" x14ac:dyDescent="0.2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spans="1:26" x14ac:dyDescent="0.2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spans="1:26" x14ac:dyDescent="0.2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spans="1:26" x14ac:dyDescent="0.2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spans="1:26" x14ac:dyDescent="0.2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spans="1:26" x14ac:dyDescent="0.2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spans="1:26" x14ac:dyDescent="0.2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spans="1:26" x14ac:dyDescent="0.2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spans="1:26" x14ac:dyDescent="0.2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spans="1:26" x14ac:dyDescent="0.2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spans="1:26" x14ac:dyDescent="0.2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spans="1:26" x14ac:dyDescent="0.2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spans="1:26" x14ac:dyDescent="0.2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spans="1:26" x14ac:dyDescent="0.2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spans="1:26" x14ac:dyDescent="0.2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spans="1:26" x14ac:dyDescent="0.2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spans="1:26" x14ac:dyDescent="0.2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spans="1:26" x14ac:dyDescent="0.2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spans="1:26" x14ac:dyDescent="0.2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spans="1:26" x14ac:dyDescent="0.2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spans="1:26" x14ac:dyDescent="0.2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spans="1:26" x14ac:dyDescent="0.2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spans="1:26" x14ac:dyDescent="0.2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spans="1:26" x14ac:dyDescent="0.2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spans="1:26" x14ac:dyDescent="0.2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spans="1:26" x14ac:dyDescent="0.2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spans="1:26" x14ac:dyDescent="0.2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spans="1:26" x14ac:dyDescent="0.2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spans="1:26" x14ac:dyDescent="0.2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spans="1:26" x14ac:dyDescent="0.2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spans="1:26" x14ac:dyDescent="0.2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spans="1:26" x14ac:dyDescent="0.2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spans="1:26" x14ac:dyDescent="0.2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spans="1:26" x14ac:dyDescent="0.2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spans="1:26" x14ac:dyDescent="0.2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spans="1:26" x14ac:dyDescent="0.2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spans="1:26" x14ac:dyDescent="0.2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spans="1:26" x14ac:dyDescent="0.2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spans="1:26" x14ac:dyDescent="0.2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spans="1:26" x14ac:dyDescent="0.2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spans="1:26" x14ac:dyDescent="0.2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spans="1:26" x14ac:dyDescent="0.2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spans="1:26" x14ac:dyDescent="0.2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spans="1:26" x14ac:dyDescent="0.2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spans="1:26" x14ac:dyDescent="0.2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spans="1:26" x14ac:dyDescent="0.2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spans="1:26" x14ac:dyDescent="0.2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spans="1:26" x14ac:dyDescent="0.2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spans="1:26" x14ac:dyDescent="0.2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spans="1:26" x14ac:dyDescent="0.2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spans="1:26" x14ac:dyDescent="0.2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spans="1:26" x14ac:dyDescent="0.2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spans="1:26" x14ac:dyDescent="0.2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spans="1:26" x14ac:dyDescent="0.2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spans="1:26" x14ac:dyDescent="0.2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spans="1:26" x14ac:dyDescent="0.2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spans="1:26" x14ac:dyDescent="0.2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spans="1:26" x14ac:dyDescent="0.2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spans="1:26" x14ac:dyDescent="0.2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spans="1:26" x14ac:dyDescent="0.2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spans="1:26" x14ac:dyDescent="0.2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spans="1:26" x14ac:dyDescent="0.2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spans="1:26" x14ac:dyDescent="0.2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spans="1:26" x14ac:dyDescent="0.2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spans="1:26" x14ac:dyDescent="0.2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spans="1:26" x14ac:dyDescent="0.2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spans="1:26" x14ac:dyDescent="0.2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spans="1:26" x14ac:dyDescent="0.2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spans="1:26" x14ac:dyDescent="0.2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spans="1:26" x14ac:dyDescent="0.2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spans="1:26" x14ac:dyDescent="0.2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spans="1:26" x14ac:dyDescent="0.2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spans="1:26" x14ac:dyDescent="0.2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spans="1:26" x14ac:dyDescent="0.2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spans="1:26" x14ac:dyDescent="0.2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spans="1:26" x14ac:dyDescent="0.2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spans="1:26" x14ac:dyDescent="0.2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spans="1:26" x14ac:dyDescent="0.2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spans="1:26" x14ac:dyDescent="0.2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spans="1:26" x14ac:dyDescent="0.2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spans="1:26" x14ac:dyDescent="0.2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spans="1:26" x14ac:dyDescent="0.2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spans="1:26" x14ac:dyDescent="0.2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spans="1:26" x14ac:dyDescent="0.2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spans="1:26" x14ac:dyDescent="0.2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spans="1:26" x14ac:dyDescent="0.2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spans="1:26" x14ac:dyDescent="0.2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spans="1:26" x14ac:dyDescent="0.2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spans="1:26" x14ac:dyDescent="0.2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spans="1:26" x14ac:dyDescent="0.2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spans="1:26" x14ac:dyDescent="0.2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spans="1:26" x14ac:dyDescent="0.2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spans="1:26" x14ac:dyDescent="0.2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spans="1:26" x14ac:dyDescent="0.2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spans="1:26" x14ac:dyDescent="0.2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spans="1:26" x14ac:dyDescent="0.2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spans="1:26" x14ac:dyDescent="0.2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spans="1:26" x14ac:dyDescent="0.2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spans="1:26" x14ac:dyDescent="0.2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spans="1:26" x14ac:dyDescent="0.2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spans="1:26" x14ac:dyDescent="0.2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spans="1:26" x14ac:dyDescent="0.2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spans="1:26" x14ac:dyDescent="0.2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spans="1:26" x14ac:dyDescent="0.2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spans="1:26" x14ac:dyDescent="0.2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spans="1:26" x14ac:dyDescent="0.2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spans="1:26" x14ac:dyDescent="0.2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spans="1:26" x14ac:dyDescent="0.2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spans="1:26" x14ac:dyDescent="0.2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spans="1:26" x14ac:dyDescent="0.2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spans="1:26" x14ac:dyDescent="0.2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spans="1:26" x14ac:dyDescent="0.2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spans="1:26" x14ac:dyDescent="0.2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spans="1:26" x14ac:dyDescent="0.2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spans="1:26" x14ac:dyDescent="0.2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spans="1:26" x14ac:dyDescent="0.2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spans="1:26" x14ac:dyDescent="0.2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spans="1:26" x14ac:dyDescent="0.2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spans="1:26" x14ac:dyDescent="0.2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spans="1:26" x14ac:dyDescent="0.2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spans="1:26" x14ac:dyDescent="0.2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spans="1:26" x14ac:dyDescent="0.2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spans="1:26" x14ac:dyDescent="0.2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spans="1:26" x14ac:dyDescent="0.2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spans="1:26" x14ac:dyDescent="0.2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spans="1:26" x14ac:dyDescent="0.2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spans="1:26" x14ac:dyDescent="0.2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spans="1:26" x14ac:dyDescent="0.2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spans="1:26" x14ac:dyDescent="0.2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spans="1:26" x14ac:dyDescent="0.2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spans="1:26" x14ac:dyDescent="0.2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spans="1:26" x14ac:dyDescent="0.2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spans="1:26" x14ac:dyDescent="0.2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spans="1:26" x14ac:dyDescent="0.2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spans="1:26" x14ac:dyDescent="0.2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spans="1:26" x14ac:dyDescent="0.2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spans="1:26" x14ac:dyDescent="0.2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spans="1:26" x14ac:dyDescent="0.2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spans="1:26" x14ac:dyDescent="0.2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spans="1:26" x14ac:dyDescent="0.2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spans="1:26" x14ac:dyDescent="0.2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spans="1:26" x14ac:dyDescent="0.2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spans="1:26" x14ac:dyDescent="0.2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spans="1:26" x14ac:dyDescent="0.2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spans="1:26" x14ac:dyDescent="0.2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spans="1:26" x14ac:dyDescent="0.2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spans="1:26" x14ac:dyDescent="0.2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spans="1:26" x14ac:dyDescent="0.2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spans="1:26" x14ac:dyDescent="0.2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spans="1:26" x14ac:dyDescent="0.2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spans="1:26" x14ac:dyDescent="0.2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spans="1:26" x14ac:dyDescent="0.2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spans="1:26" x14ac:dyDescent="0.2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spans="1:26" x14ac:dyDescent="0.2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spans="1:26" x14ac:dyDescent="0.2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spans="1:26" x14ac:dyDescent="0.2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spans="1:26" x14ac:dyDescent="0.2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spans="1:26" x14ac:dyDescent="0.2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3"/>
  <sheetViews>
    <sheetView workbookViewId="0"/>
  </sheetViews>
  <sheetFormatPr defaultColWidth="12.5703125" defaultRowHeight="15.75" customHeight="1" x14ac:dyDescent="0.2"/>
  <cols>
    <col min="2" max="2" width="49.140625" customWidth="1"/>
    <col min="6" max="6" width="85.5703125" customWidth="1"/>
    <col min="7" max="7" width="17.5703125" customWidth="1"/>
  </cols>
  <sheetData>
    <row r="1" spans="1:25" ht="15.75" customHeight="1" x14ac:dyDescent="0.25">
      <c r="A1" s="2"/>
      <c r="B1" s="2"/>
      <c r="C1" s="2"/>
      <c r="D1" s="2"/>
      <c r="E1" s="2"/>
      <c r="F1" s="2"/>
      <c r="G1" s="174" t="s">
        <v>150</v>
      </c>
      <c r="H1" s="175"/>
      <c r="I1" s="17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/>
      <c r="B2" s="167" t="s">
        <v>151</v>
      </c>
      <c r="C2" s="91">
        <v>2022</v>
      </c>
      <c r="D2" s="91">
        <v>2021</v>
      </c>
      <c r="E2" s="91">
        <v>2020</v>
      </c>
      <c r="F2" s="2"/>
      <c r="G2" s="91" t="s">
        <v>152</v>
      </c>
      <c r="H2" s="91" t="s">
        <v>153</v>
      </c>
      <c r="I2" s="91" t="s">
        <v>154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2"/>
      <c r="B3" s="2" t="s">
        <v>155</v>
      </c>
      <c r="C3" s="70"/>
      <c r="D3" s="70"/>
      <c r="E3" s="70"/>
      <c r="F3" s="2"/>
      <c r="G3" s="128"/>
      <c r="H3" s="128"/>
      <c r="I3" s="12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2"/>
      <c r="B4" s="2" t="s">
        <v>156</v>
      </c>
      <c r="C4" s="70">
        <f t="shared" ref="C4:C5" si="0">7594/2719</f>
        <v>2.7929385803604267</v>
      </c>
      <c r="D4" s="70">
        <f t="shared" ref="D4:D5" si="1">7611/6400</f>
        <v>1.18921875</v>
      </c>
      <c r="E4" s="70">
        <f t="shared" ref="E4:E5" si="2">6735/3889</f>
        <v>1.7318076626382104</v>
      </c>
      <c r="F4" s="2" t="s">
        <v>157</v>
      </c>
      <c r="G4" s="70">
        <v>4.0199999999999996</v>
      </c>
      <c r="H4" s="70">
        <v>3.72</v>
      </c>
      <c r="I4" s="70">
        <v>2.92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2"/>
      <c r="B5" s="2" t="s">
        <v>158</v>
      </c>
      <c r="C5" s="70">
        <f t="shared" si="0"/>
        <v>2.7929385803604267</v>
      </c>
      <c r="D5" s="70">
        <f t="shared" si="1"/>
        <v>1.18921875</v>
      </c>
      <c r="E5" s="70">
        <f t="shared" si="2"/>
        <v>1.7318076626382104</v>
      </c>
      <c r="F5" s="2" t="s">
        <v>159</v>
      </c>
      <c r="G5" s="70">
        <v>3.67</v>
      </c>
      <c r="H5" s="70">
        <v>3.46</v>
      </c>
      <c r="I5" s="70">
        <v>2.68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2" t="s">
        <v>160</v>
      </c>
      <c r="C6" s="70">
        <f t="shared" ref="C6:C7" si="3">4870/2719</f>
        <v>1.7910996689959544</v>
      </c>
      <c r="D6" s="70">
        <f>(4166+54)/6400</f>
        <v>0.65937500000000004</v>
      </c>
      <c r="E6" s="70">
        <f>(3512+306)/3889</f>
        <v>0.9817433787606068</v>
      </c>
      <c r="F6" s="2" t="s">
        <v>161</v>
      </c>
      <c r="G6" s="70">
        <v>1.95</v>
      </c>
      <c r="H6" s="70">
        <v>2.39</v>
      </c>
      <c r="I6" s="70">
        <v>1.22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2" t="s">
        <v>162</v>
      </c>
      <c r="C7" s="70">
        <f t="shared" si="3"/>
        <v>1.7910996689959544</v>
      </c>
      <c r="D7" s="70">
        <f>54/6400</f>
        <v>8.4375000000000006E-3</v>
      </c>
      <c r="E7" s="70">
        <f>306/3889</f>
        <v>7.8683466186680387E-2</v>
      </c>
      <c r="F7" s="2" t="s">
        <v>163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2"/>
      <c r="B8" s="2" t="s">
        <v>164</v>
      </c>
      <c r="C8" s="54"/>
      <c r="D8" s="54"/>
      <c r="E8" s="54"/>
      <c r="F8" s="2"/>
      <c r="G8" s="128"/>
      <c r="H8" s="128"/>
      <c r="I8" s="1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2"/>
      <c r="B9" s="2" t="s">
        <v>165</v>
      </c>
      <c r="C9" s="70">
        <f>-3090/(6585+5031+19486)</f>
        <v>-9.9350524082052596E-2</v>
      </c>
      <c r="D9" s="70">
        <f>2055/(7741+2421+2434)</f>
        <v>0.16314703080342965</v>
      </c>
      <c r="E9" s="70">
        <f>1411/(8108+2204)</f>
        <v>0.13683087664856478</v>
      </c>
      <c r="F9" s="2" t="s">
        <v>166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/>
      <c r="B10" s="2" t="s">
        <v>167</v>
      </c>
      <c r="C10" s="70">
        <f>-3060/6585</f>
        <v>-0.46469248291571752</v>
      </c>
      <c r="D10" s="70">
        <f>2055/7741</f>
        <v>0.26546957757395684</v>
      </c>
      <c r="E10" s="70">
        <f>1411/8108</f>
        <v>0.17402565367538234</v>
      </c>
      <c r="F10" s="2" t="s">
        <v>168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/>
      <c r="B11" s="2" t="s">
        <v>169</v>
      </c>
      <c r="C11" s="70">
        <f>-3090/5031</f>
        <v>-0.61419200954084674</v>
      </c>
      <c r="D11" s="70">
        <f>2055/2421</f>
        <v>0.84882280049566294</v>
      </c>
      <c r="E11" s="70">
        <f>1411/2204</f>
        <v>0.6401996370235935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2"/>
      <c r="B12" s="2" t="s">
        <v>170</v>
      </c>
      <c r="C12" s="70">
        <f>-3090/19486</f>
        <v>-0.15857538745766192</v>
      </c>
      <c r="D12" s="70">
        <f>2055/2434</f>
        <v>0.84428923582580118</v>
      </c>
      <c r="E12" s="5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2" t="s">
        <v>171</v>
      </c>
      <c r="C13" s="70">
        <f>-3060/10718</f>
        <v>-0.28550102631087887</v>
      </c>
      <c r="D13" s="70">
        <f>2055/10762</f>
        <v>0.19094963761382644</v>
      </c>
      <c r="E13" s="70">
        <f>1411/10148</f>
        <v>0.13904217579818684</v>
      </c>
      <c r="F13" s="2" t="s">
        <v>172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2"/>
      <c r="B14" s="2" t="s">
        <v>173</v>
      </c>
      <c r="C14" s="70">
        <f>-3060/28579</f>
        <v>-0.10707162601910494</v>
      </c>
      <c r="D14" s="70">
        <f>2055/35963</f>
        <v>5.7142062675527627E-2</v>
      </c>
      <c r="E14" s="70">
        <f>1411/35594</f>
        <v>3.9641512614485584E-2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2"/>
      <c r="B15" s="2" t="s">
        <v>174</v>
      </c>
      <c r="C15" s="70">
        <f>-3060/12611</f>
        <v>-0.24264530965030529</v>
      </c>
      <c r="D15" s="70">
        <f>2055/1994</f>
        <v>1.0305917753259779</v>
      </c>
      <c r="E15" s="70">
        <f>1411/(-442)</f>
        <v>-3.1923076923076925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2"/>
      <c r="B16" s="2"/>
      <c r="C16" s="54"/>
      <c r="D16" s="54"/>
      <c r="E16" s="5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168" t="s">
        <v>175</v>
      </c>
      <c r="C17" s="169"/>
      <c r="D17" s="169"/>
      <c r="E17" s="169"/>
      <c r="F17" s="2"/>
      <c r="G17" s="2"/>
      <c r="H17" s="128"/>
      <c r="I17" s="12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 t="s">
        <v>176</v>
      </c>
      <c r="C18" s="70">
        <f>6585/28579</f>
        <v>0.23041394030581897</v>
      </c>
      <c r="D18" s="70">
        <f>7741/35963</f>
        <v>0.21524900592275395</v>
      </c>
      <c r="E18" s="70">
        <f>8108/35594</f>
        <v>0.22779120076417372</v>
      </c>
      <c r="F18" s="2" t="s">
        <v>177</v>
      </c>
      <c r="G18" s="70">
        <v>0.36799999999999999</v>
      </c>
      <c r="H18" s="70">
        <v>0.26590000000000003</v>
      </c>
      <c r="I18" s="70">
        <v>0.32729999999999998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 t="s">
        <v>178</v>
      </c>
      <c r="C19" s="70">
        <f>21994/28579</f>
        <v>0.76958605969418103</v>
      </c>
      <c r="D19" s="70">
        <f>28222/35963</f>
        <v>0.78475099407724602</v>
      </c>
      <c r="E19" s="70">
        <f>27486/35594</f>
        <v>0.7722087992358263</v>
      </c>
      <c r="F19" s="2" t="s">
        <v>179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 t="s">
        <v>180</v>
      </c>
      <c r="C20" s="70">
        <f>28679/21994</f>
        <v>1.3039465308720559</v>
      </c>
      <c r="D20" s="70">
        <f>35963/28222</f>
        <v>1.2742895613351286</v>
      </c>
      <c r="E20" s="70">
        <f>35594/27496</f>
        <v>1.2945155659004945</v>
      </c>
      <c r="F20" s="2" t="s">
        <v>181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 t="s">
        <v>182</v>
      </c>
      <c r="C21" s="70">
        <f>3866/28579</f>
        <v>0.13527415234962734</v>
      </c>
      <c r="D21" s="70">
        <f>1341/35963</f>
        <v>3.7288324110891752E-2</v>
      </c>
      <c r="E21" s="70">
        <f>4219/35594</f>
        <v>0.11853121312580772</v>
      </c>
      <c r="F21" s="2" t="s">
        <v>183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 t="s">
        <v>184</v>
      </c>
      <c r="C22" s="70">
        <f>3866/6585</f>
        <v>0.58709187547456343</v>
      </c>
      <c r="D22" s="70">
        <f>1341/7741</f>
        <v>0.17323343237307842</v>
      </c>
      <c r="E22" s="70">
        <f>4219/8108</f>
        <v>0.52035027133695111</v>
      </c>
      <c r="F22" s="2" t="s">
        <v>185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 t="s">
        <v>186</v>
      </c>
      <c r="C23" s="70">
        <f>2719/6585</f>
        <v>0.41290812452543657</v>
      </c>
      <c r="D23" s="70">
        <f>6400/7741</f>
        <v>0.82676656762692158</v>
      </c>
      <c r="E23" s="70">
        <f>3889/8108</f>
        <v>0.47964972866304884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 t="s">
        <v>187</v>
      </c>
      <c r="C24" s="70">
        <f>3866/(20985-6585)</f>
        <v>0.26847222222222222</v>
      </c>
      <c r="D24" s="70">
        <f>1341/(28352-7741)</f>
        <v>6.5062345349570616E-2</v>
      </c>
      <c r="E24" s="70">
        <f>4219/(28859-8108)</f>
        <v>0.20331550286733169</v>
      </c>
      <c r="F24" s="2" t="s">
        <v>188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 t="s">
        <v>189</v>
      </c>
      <c r="C25" s="70">
        <f>(20985-6585)/3866</f>
        <v>3.7247801345059495</v>
      </c>
      <c r="D25" s="70">
        <f>(28352-7741)/1341</f>
        <v>15.369873228933631</v>
      </c>
      <c r="E25" s="70">
        <f>(28859-8108)/4219</f>
        <v>4.9184640910168289</v>
      </c>
      <c r="F25" s="2" t="s">
        <v>190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 t="s">
        <v>191</v>
      </c>
      <c r="C26" s="70">
        <f>6585/21994</f>
        <v>0.29939983631899608</v>
      </c>
      <c r="D26" s="70">
        <f>7741/28222</f>
        <v>0.27428956133512861</v>
      </c>
      <c r="E26" s="70">
        <f>8108/27486</f>
        <v>0.29498653860146984</v>
      </c>
      <c r="F26" s="2" t="s">
        <v>192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 t="s">
        <v>193</v>
      </c>
      <c r="C27" s="70">
        <f>21994/6585</f>
        <v>3.3400151860288534</v>
      </c>
      <c r="D27" s="70">
        <f>28222/7741</f>
        <v>3.6457821986823409</v>
      </c>
      <c r="E27" s="70">
        <f>27486/8108</f>
        <v>3.389985199802664</v>
      </c>
      <c r="F27" s="2" t="s">
        <v>194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54"/>
      <c r="D28" s="54"/>
      <c r="E28" s="5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168" t="s">
        <v>195</v>
      </c>
      <c r="C29" s="169"/>
      <c r="D29" s="169"/>
      <c r="E29" s="16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 t="s">
        <v>196</v>
      </c>
      <c r="C30" s="70">
        <f>10718/(28579+35963)*2</f>
        <v>0.33212481794800286</v>
      </c>
      <c r="D30" s="70">
        <f>10762/(35963+35594)*2</f>
        <v>0.30079517028382968</v>
      </c>
      <c r="E30" s="70">
        <f>10148/(35594+38900)*2</f>
        <v>0.27245147260182029</v>
      </c>
      <c r="F30" s="2" t="s">
        <v>197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 t="s">
        <v>198</v>
      </c>
      <c r="C31" s="70">
        <f>10718/(20985+28352)*2</f>
        <v>0.43448122099033182</v>
      </c>
      <c r="D31" s="70">
        <f>10762/(28352 + 28859)*2</f>
        <v>0.37622135603293072</v>
      </c>
      <c r="E31" s="70">
        <f>10148/(28859+30894)*2</f>
        <v>0.33966495406088398</v>
      </c>
      <c r="F31" s="2" t="s">
        <v>199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 t="s">
        <v>200</v>
      </c>
      <c r="C32" s="70">
        <f>10718/(7594+7611)*2</f>
        <v>1.4097994080894443</v>
      </c>
      <c r="D32" s="70">
        <f>10762/(7611+6735)*2</f>
        <v>1.5003485292067475</v>
      </c>
      <c r="E32" s="70">
        <f>10148/(6735+8006)*2</f>
        <v>1.3768401058272846</v>
      </c>
      <c r="F32" s="2" t="s">
        <v>201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 t="s">
        <v>202</v>
      </c>
      <c r="C33" s="54"/>
      <c r="D33" s="54"/>
      <c r="E33" s="54"/>
      <c r="F33" s="2" t="s">
        <v>203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 t="s">
        <v>204</v>
      </c>
      <c r="C34" s="70"/>
      <c r="D34" s="70"/>
      <c r="E34" s="70"/>
      <c r="F34" s="2"/>
      <c r="G34" s="54">
        <v>16.82</v>
      </c>
      <c r="H34" s="54">
        <v>23.56</v>
      </c>
      <c r="I34" s="54">
        <v>7.86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 t="s">
        <v>205</v>
      </c>
      <c r="C35" s="70">
        <f>10718/(2130 + 3093)*2</f>
        <v>4.1041547003637753</v>
      </c>
      <c r="D35" s="70">
        <f>10762/(3093 + 2661)*2</f>
        <v>3.7407021202641642</v>
      </c>
      <c r="E35" s="70">
        <f>10149/(2661+2627)*2</f>
        <v>3.8385022692889561</v>
      </c>
      <c r="F35" s="2" t="s">
        <v>206</v>
      </c>
      <c r="G35" s="54"/>
      <c r="H35" s="54"/>
      <c r="I35" s="5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 t="s">
        <v>207</v>
      </c>
      <c r="C36" s="170">
        <f>(2130 + 3093)/2*365/10718</f>
        <v>88.934269453256206</v>
      </c>
      <c r="D36" s="170">
        <f>(3093 + 2661)/2*365/10762</f>
        <v>97.575264820665311</v>
      </c>
      <c r="E36" s="170">
        <f>(2661+2627)/2*365/10149</f>
        <v>95.089171346930726</v>
      </c>
      <c r="F36" s="2" t="s">
        <v>208</v>
      </c>
      <c r="G36" s="54">
        <v>54.53</v>
      </c>
      <c r="H36" s="54">
        <v>39.43</v>
      </c>
      <c r="I36" s="54">
        <v>46.61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x14ac:dyDescent="0.2">
      <c r="A37" s="2"/>
      <c r="B37" s="2" t="s">
        <v>209</v>
      </c>
      <c r="C37" s="70">
        <f>10718/(530+522)*2</f>
        <v>20.376425855513308</v>
      </c>
      <c r="D37" s="70">
        <f>10762/(522+420)*2</f>
        <v>22.849256900212314</v>
      </c>
      <c r="E37" s="70">
        <f>10149/(420+1227)*2</f>
        <v>12.324225865209472</v>
      </c>
      <c r="F37" s="2" t="s">
        <v>210</v>
      </c>
      <c r="G37" s="54"/>
      <c r="H37" s="54"/>
      <c r="I37" s="5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x14ac:dyDescent="0.2">
      <c r="A38" s="2"/>
      <c r="B38" s="2" t="s">
        <v>211</v>
      </c>
      <c r="C38" s="170">
        <f>(530+522)/2*365/10718</f>
        <v>17.912856876282888</v>
      </c>
      <c r="D38" s="170">
        <f>(522+420)/2*365/10762</f>
        <v>15.974261289723099</v>
      </c>
      <c r="E38" s="170">
        <f>(420+1227)/2*365/10149</f>
        <v>29.616464676322792</v>
      </c>
      <c r="F38" s="2" t="s">
        <v>212</v>
      </c>
      <c r="G38" s="54">
        <v>25.88</v>
      </c>
      <c r="H38" s="54">
        <v>25.23</v>
      </c>
      <c r="I38" s="54">
        <v>20.76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x14ac:dyDescent="0.2">
      <c r="A39" s="2"/>
      <c r="B39" s="2" t="s">
        <v>213</v>
      </c>
      <c r="C39" s="170">
        <f t="shared" ref="C39:E39" si="4">C36-C38</f>
        <v>71.021412576973319</v>
      </c>
      <c r="D39" s="170">
        <f t="shared" si="4"/>
        <v>81.601003530942208</v>
      </c>
      <c r="E39" s="170">
        <f t="shared" si="4"/>
        <v>65.472706670607934</v>
      </c>
      <c r="F39" s="2" t="s">
        <v>214</v>
      </c>
      <c r="G39" s="54"/>
      <c r="H39" s="54"/>
      <c r="I39" s="5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">
      <c r="A40" s="2"/>
      <c r="B40" s="2"/>
      <c r="C40" s="54"/>
      <c r="D40" s="54"/>
      <c r="E40" s="54"/>
      <c r="F40" s="2"/>
      <c r="G40" s="54"/>
      <c r="H40" s="54"/>
      <c r="I40" s="5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">
      <c r="A41" s="2"/>
      <c r="B41" s="168" t="s">
        <v>215</v>
      </c>
      <c r="C41" s="169"/>
      <c r="D41" s="169"/>
      <c r="E41" s="169"/>
      <c r="F41" s="2"/>
      <c r="G41" s="54"/>
      <c r="H41" s="54"/>
      <c r="I41" s="5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">
      <c r="A42" s="2"/>
      <c r="B42" s="2" t="s">
        <v>216</v>
      </c>
      <c r="C42" s="70">
        <f>12611/10718</f>
        <v>1.1766187721589849</v>
      </c>
      <c r="D42" s="70">
        <f>1994/10762</f>
        <v>0.18528154618100726</v>
      </c>
      <c r="E42" s="70">
        <f>-442/10148</f>
        <v>-4.3555380370516358E-2</v>
      </c>
      <c r="F42" s="2" t="s">
        <v>217</v>
      </c>
      <c r="G42" s="70">
        <v>9.0899999999999995E-2</v>
      </c>
      <c r="H42" s="70">
        <v>0.18390000000000001</v>
      </c>
      <c r="I42" s="70">
        <v>5.7599999999999998E-2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">
      <c r="A43" s="2"/>
      <c r="B43" s="2" t="s">
        <v>218</v>
      </c>
      <c r="C43" s="70">
        <f>12611/(28579+35963)*2</f>
        <v>0.39078429549750548</v>
      </c>
      <c r="D43" s="70">
        <f>1994/(35963+35594)*2</f>
        <v>5.5731794233967326E-2</v>
      </c>
      <c r="E43" s="70">
        <f>-442/(35594+38900)*2</f>
        <v>-1.1866727521679598E-2</v>
      </c>
      <c r="F43" s="2" t="s">
        <v>219</v>
      </c>
      <c r="G43" s="70">
        <v>0.19350000000000001</v>
      </c>
      <c r="H43" s="70">
        <v>0.33169999999999999</v>
      </c>
      <c r="I43" s="70">
        <v>0.14710000000000001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">
      <c r="A44" s="2"/>
      <c r="B44" s="2" t="s">
        <v>220</v>
      </c>
      <c r="C44" s="70">
        <f>12611/(21944+28222)*2</f>
        <v>0.50277080094087634</v>
      </c>
      <c r="D44" s="70">
        <f>1994/(28222+27486)*2</f>
        <v>7.158756372513822E-2</v>
      </c>
      <c r="E44" s="70">
        <f>-442/(27486+27878)*2</f>
        <v>-1.5967054403583557E-2</v>
      </c>
      <c r="F44" s="2" t="s">
        <v>221</v>
      </c>
      <c r="G44" s="70">
        <v>0.31319999999999998</v>
      </c>
      <c r="H44" s="70">
        <v>0.55640000000000001</v>
      </c>
      <c r="I44" s="70">
        <v>0.24790000000000001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WSTĘP</vt:lpstr>
      <vt:lpstr>AKTYWA ANALIZA</vt:lpstr>
      <vt:lpstr>PASYWA ANALIZA</vt:lpstr>
      <vt:lpstr>RACHUNEK ZYSKÓW I STRAT</vt:lpstr>
      <vt:lpstr>PRZEPŁYWY PIENIĘŻNE</vt:lpstr>
      <vt:lpstr>ANALIZA WSKAŹNIKOWA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Wojciech Kantor</cp:lastModifiedBy>
  <dcterms:modified xsi:type="dcterms:W3CDTF">2024-01-15T18:47:45Z</dcterms:modified>
</cp:coreProperties>
</file>