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Sheet1!$A$1:$K$67</definedName>
  </definedNames>
  <calcPr/>
</workbook>
</file>

<file path=xl/sharedStrings.xml><?xml version="1.0" encoding="utf-8"?>
<sst xmlns="http://schemas.openxmlformats.org/spreadsheetml/2006/main" count="72" uniqueCount="67">
  <si>
    <t>ticker</t>
  </si>
  <si>
    <t>ltp</t>
  </si>
  <si>
    <t xml:space="preserve">open </t>
  </si>
  <si>
    <t>high</t>
  </si>
  <si>
    <t xml:space="preserve">low </t>
  </si>
  <si>
    <t>market cap</t>
  </si>
  <si>
    <t>EPS</t>
  </si>
  <si>
    <t xml:space="preserve">Volume </t>
  </si>
  <si>
    <t xml:space="preserve">52 week low </t>
  </si>
  <si>
    <t xml:space="preserve">52 week high </t>
  </si>
  <si>
    <t>change from previois day</t>
  </si>
  <si>
    <t>ASIANPAINT</t>
  </si>
  <si>
    <t>TCS</t>
  </si>
  <si>
    <t>AXISBANK</t>
  </si>
  <si>
    <t>WIPRO</t>
  </si>
  <si>
    <t>TECHM</t>
  </si>
  <si>
    <t>HINDUNILVR</t>
  </si>
  <si>
    <t>ICICIBANK</t>
  </si>
  <si>
    <t>DRREDDY</t>
  </si>
  <si>
    <t>HDFCBANK</t>
  </si>
  <si>
    <t>ULTRACEMCO</t>
  </si>
  <si>
    <t>BRITANNIA</t>
  </si>
  <si>
    <t>INFY</t>
  </si>
  <si>
    <t>RELIANCE</t>
  </si>
  <si>
    <t>SHREECEM</t>
  </si>
  <si>
    <t>naukri</t>
  </si>
  <si>
    <t>TITAN</t>
  </si>
  <si>
    <t>CIPLA</t>
  </si>
  <si>
    <t>BAJAJFINSV</t>
  </si>
  <si>
    <t>SBILIFE</t>
  </si>
  <si>
    <t>TATASTEEL</t>
  </si>
  <si>
    <t>BAJFINANCE</t>
  </si>
  <si>
    <t>HDFCLIFE</t>
  </si>
  <si>
    <t>HEROMOTOCO</t>
  </si>
  <si>
    <t>JSWSTEEL</t>
  </si>
  <si>
    <t>KOTAKBANK</t>
  </si>
  <si>
    <t>ITC</t>
  </si>
  <si>
    <t>NESTLEIND</t>
  </si>
  <si>
    <t>MARUTI</t>
  </si>
  <si>
    <t>GAIL</t>
  </si>
  <si>
    <t>SBIN</t>
  </si>
  <si>
    <t>beta</t>
  </si>
  <si>
    <t>GRASIM</t>
  </si>
  <si>
    <t>DIVISLAB</t>
  </si>
  <si>
    <t>SUNPHARMA</t>
  </si>
  <si>
    <t>mcx</t>
  </si>
  <si>
    <t>persistent</t>
  </si>
  <si>
    <t>HDFC</t>
  </si>
  <si>
    <t>M&amp;M</t>
  </si>
  <si>
    <t>EICHERMOT</t>
  </si>
  <si>
    <t>HINDALCO</t>
  </si>
  <si>
    <t>IOC</t>
  </si>
  <si>
    <t>COFORGE</t>
  </si>
  <si>
    <t>BAJAJ-AUTO</t>
  </si>
  <si>
    <t>mphaSIS</t>
  </si>
  <si>
    <t>NAUKRI</t>
  </si>
  <si>
    <t>ADANIPORTS</t>
  </si>
  <si>
    <t>TATAMOTORS</t>
  </si>
  <si>
    <t>MINDTREE</t>
  </si>
  <si>
    <t>aartiind</t>
  </si>
  <si>
    <t>LT</t>
  </si>
  <si>
    <t>MPHASIS</t>
  </si>
  <si>
    <t>caplipoint</t>
  </si>
  <si>
    <t>HCLTECH</t>
  </si>
  <si>
    <t>coromandel</t>
  </si>
  <si>
    <t>sequent</t>
  </si>
  <si>
    <t>lalpathlab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</si>
</sst>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rgb="FFCC0000"/>
      <name val="Arial"/>
      <scheme val="minor"/>
    </font>
    <font>
      <color rgb="FFFF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11.0"/>
      <color rgb="FFF7981D"/>
      <name val="Arial"/>
      <scheme val="minor"/>
    </font>
    <font>
      <sz val="11.0"/>
      <color rgb="FF0000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3" fontId="3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4" numFmtId="0" xfId="0" applyFont="1"/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5"/>
    <col customWidth="1" min="3" max="3" width="8.25"/>
    <col customWidth="1" min="4" max="4" width="11.38"/>
    <col customWidth="1" min="5" max="5" width="6.5"/>
    <col customWidth="1" min="6" max="6" width="7.13"/>
    <col customWidth="1" min="7" max="7" width="11.63"/>
    <col customWidth="1" min="11" max="11" width="1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>
      <c r="A2" s="3" t="s">
        <v>11</v>
      </c>
      <c r="B2" s="4">
        <f>IFERROR(__xludf.DUMMYFUNCTION("googlefinance(""NSE:""&amp;A2,""price"")"),3450.0)</f>
        <v>3450</v>
      </c>
      <c r="C2" s="5">
        <f>IFERROR(__xludf.DUMMYFUNCTION("googlefinance(""NSE:""&amp;A2,""priceopen"")"),3441.85)</f>
        <v>3441.85</v>
      </c>
      <c r="D2" s="6">
        <f>IFERROR(__xludf.DUMMYFUNCTION("googlefinance(""NSE:""&amp;A2,""high"")"),3453.65)</f>
        <v>3453.65</v>
      </c>
      <c r="E2" s="7">
        <f>IFERROR(__xludf.DUMMYFUNCTION("googlefinance(""NSE:""&amp;A2,""price"")"),3450.0)</f>
        <v>3450</v>
      </c>
      <c r="F2" s="7">
        <f>IFERROR(__xludf.DUMMYFUNCTION("googlefinance(""NSE:""&amp;A2,""marketcap"")"),3.307998345E12)</f>
        <v>3307998345000</v>
      </c>
      <c r="G2" s="7">
        <f>IFERROR(__xludf.DUMMYFUNCTION("googlefinance(""NSE:""&amp;A2,""eps"")"),36.27)</f>
        <v>36.27</v>
      </c>
      <c r="H2" s="7">
        <f>IFERROR(__xludf.DUMMYFUNCTION("googlefinance(""NSE:""&amp;A2,""volume"")"),325563.0)</f>
        <v>325563</v>
      </c>
      <c r="I2" s="7">
        <f>IFERROR(__xludf.DUMMYFUNCTION("googlefinance(""NSE:""&amp;A2,""low52"")"),2560.0)</f>
        <v>2560</v>
      </c>
      <c r="J2" s="7">
        <f>IFERROR(__xludf.DUMMYFUNCTION("googlefinance(""NSE:""&amp;A2,""high52"")"),3590.0)</f>
        <v>3590</v>
      </c>
      <c r="K2" s="7">
        <f>IFERROR(__xludf.DUMMYFUNCTION("googlefinance(""NSE:""&amp;A2,""changepct"")"),0.24)</f>
        <v>0.24</v>
      </c>
    </row>
    <row r="3">
      <c r="A3" s="3" t="s">
        <v>12</v>
      </c>
      <c r="B3" s="4">
        <f>IFERROR(__xludf.DUMMYFUNCTION("googlefinance(""NSE:""&amp;A3,""price"")"),3258.35)</f>
        <v>3258.35</v>
      </c>
      <c r="C3" s="5">
        <f>IFERROR(__xludf.DUMMYFUNCTION("googlefinance(""NSE:""&amp;A3,""priceopen"")"),3239.9)</f>
        <v>3239.9</v>
      </c>
      <c r="D3" s="6">
        <f>IFERROR(__xludf.DUMMYFUNCTION("googlefinance(""NSE:""&amp;A3,""high"")"),3269.8)</f>
        <v>3269.8</v>
      </c>
      <c r="E3" s="7">
        <f>IFERROR(__xludf.DUMMYFUNCTION("googlefinance(""NSE:""&amp;A3,""price"")"),3258.35)</f>
        <v>3258.35</v>
      </c>
      <c r="F3" s="7">
        <f>IFERROR(__xludf.DUMMYFUNCTION("googlefinance(""NSE:""&amp;A3,""marketcap"")"),1.1922837810735E13)</f>
        <v>11922837810735</v>
      </c>
      <c r="G3" s="7">
        <f>IFERROR(__xludf.DUMMYFUNCTION("googlefinance(""NSE:""&amp;A3,""eps"")"),105.17)</f>
        <v>105.17</v>
      </c>
      <c r="H3" s="7">
        <f>IFERROR(__xludf.DUMMYFUNCTION("googlefinance(""NSE:""&amp;A3,""volume"")"),1051269.0)</f>
        <v>1051269</v>
      </c>
      <c r="I3" s="7">
        <f>IFERROR(__xludf.DUMMYFUNCTION("googlefinance(""NSE:""&amp;A3,""low52"")"),2953.0)</f>
        <v>2953</v>
      </c>
      <c r="J3" s="7">
        <f>IFERROR(__xludf.DUMMYFUNCTION("googlefinance(""NSE:""&amp;A3,""high52"")"),4043.0)</f>
        <v>4043</v>
      </c>
      <c r="K3" s="7">
        <f>IFERROR(__xludf.DUMMYFUNCTION("googlefinance(""NSE:""&amp;A3,""changepct"")"),1.26)</f>
        <v>1.26</v>
      </c>
    </row>
    <row r="4">
      <c r="A4" s="8" t="s">
        <v>13</v>
      </c>
      <c r="B4" s="4">
        <f>IFERROR(__xludf.DUMMYFUNCTION("googlefinance(""NSE:""&amp;A4,""price"")"),799.6)</f>
        <v>799.6</v>
      </c>
      <c r="C4" s="5">
        <f>IFERROR(__xludf.DUMMYFUNCTION("googlefinance(""NSE:""&amp;A4,""priceopen"")"),789.0)</f>
        <v>789</v>
      </c>
      <c r="D4" s="6">
        <f>IFERROR(__xludf.DUMMYFUNCTION("googlefinance(""NSE:""&amp;A4,""high"")"),800.0)</f>
        <v>800</v>
      </c>
      <c r="E4" s="7">
        <f>IFERROR(__xludf.DUMMYFUNCTION("googlefinance(""NSE:""&amp;A4,""price"")"),799.6)</f>
        <v>799.6</v>
      </c>
      <c r="F4" s="7">
        <f>IFERROR(__xludf.DUMMYFUNCTION("googlefinance(""NSE:""&amp;A4,""marketcap"")"),2.4559784535E12)</f>
        <v>2455978453500</v>
      </c>
      <c r="G4" s="7">
        <f>IFERROR(__xludf.DUMMYFUNCTION("googlefinance(""NSE:""&amp;A4,""eps"")"),52.48)</f>
        <v>52.48</v>
      </c>
      <c r="H4" s="7">
        <f>IFERROR(__xludf.DUMMYFUNCTION("googlefinance(""NSE:""&amp;A4,""volume"")"),7522962.0)</f>
        <v>7522962</v>
      </c>
      <c r="I4" s="7">
        <f>IFERROR(__xludf.DUMMYFUNCTION("googlefinance(""NSE:""&amp;A4,""low52"")"),618.25)</f>
        <v>618.25</v>
      </c>
      <c r="J4" s="7">
        <f>IFERROR(__xludf.DUMMYFUNCTION("googlefinance(""NSE:""&amp;A4,""high52"")"),866.9)</f>
        <v>866.9</v>
      </c>
      <c r="K4" s="7">
        <f>IFERROR(__xludf.DUMMYFUNCTION("googlefinance(""NSE:""&amp;A4,""changepct"")"),1.88)</f>
        <v>1.88</v>
      </c>
    </row>
    <row r="5">
      <c r="A5" s="3" t="s">
        <v>14</v>
      </c>
      <c r="B5" s="4">
        <f>IFERROR(__xludf.DUMMYFUNCTION("googlefinance(""NSE:""&amp;A5,""price"")"),423.9)</f>
        <v>423.9</v>
      </c>
      <c r="C5" s="5">
        <f>IFERROR(__xludf.DUMMYFUNCTION("googlefinance(""NSE:""&amp;A5,""priceopen"")"),419.85)</f>
        <v>419.85</v>
      </c>
      <c r="D5" s="6">
        <f>IFERROR(__xludf.DUMMYFUNCTION("googlefinance(""NSE:""&amp;A5,""high"")"),424.4)</f>
        <v>424.4</v>
      </c>
      <c r="E5" s="7">
        <f>IFERROR(__xludf.DUMMYFUNCTION("googlefinance(""NSE:""&amp;A5,""price"")"),423.9)</f>
        <v>423.9</v>
      </c>
      <c r="F5" s="7">
        <f>IFERROR(__xludf.DUMMYFUNCTION("googlefinance(""NSE:""&amp;A5,""marketcap"")"),2.318846084591E12)</f>
        <v>2318846084591</v>
      </c>
      <c r="G5" s="7">
        <f>IFERROR(__xludf.DUMMYFUNCTION("googlefinance(""NSE:""&amp;A5,""eps"")"),21.06)</f>
        <v>21.06</v>
      </c>
      <c r="H5" s="7">
        <f>IFERROR(__xludf.DUMMYFUNCTION("googlefinance(""NSE:""&amp;A5,""volume"")"),3681724.0)</f>
        <v>3681724</v>
      </c>
      <c r="I5" s="7">
        <f>IFERROR(__xludf.DUMMYFUNCTION("googlefinance(""NSE:""&amp;A5,""low52"")"),391.0)</f>
        <v>391</v>
      </c>
      <c r="J5" s="7">
        <f>IFERROR(__xludf.DUMMYFUNCTION("googlefinance(""NSE:""&amp;A5,""high52"")"),739.85)</f>
        <v>739.85</v>
      </c>
      <c r="K5" s="7">
        <f>IFERROR(__xludf.DUMMYFUNCTION("googlefinance(""NSE:""&amp;A5,""changepct"")"),1.62)</f>
        <v>1.62</v>
      </c>
    </row>
    <row r="6">
      <c r="A6" s="8" t="s">
        <v>15</v>
      </c>
      <c r="B6" s="4">
        <f>IFERROR(__xludf.DUMMYFUNCTION("googlefinance(""NSE:""&amp;A6,""price"")"),1157.6)</f>
        <v>1157.6</v>
      </c>
      <c r="C6" s="5">
        <f>IFERROR(__xludf.DUMMYFUNCTION("googlefinance(""NSE:""&amp;A6,""priceopen"")"),1140.0)</f>
        <v>1140</v>
      </c>
      <c r="D6" s="6">
        <f>IFERROR(__xludf.DUMMYFUNCTION("googlefinance(""NSE:""&amp;A6,""high"")"),1165.0)</f>
        <v>1165</v>
      </c>
      <c r="E6" s="7">
        <f>IFERROR(__xludf.DUMMYFUNCTION("googlefinance(""NSE:""&amp;A6,""price"")"),1157.6)</f>
        <v>1157.6</v>
      </c>
      <c r="F6" s="7">
        <f>IFERROR(__xludf.DUMMYFUNCTION("googlefinance(""NSE:""&amp;A6,""marketcap"")"),1.126254830727E12)</f>
        <v>1126254830727</v>
      </c>
      <c r="G6" s="7">
        <f>IFERROR(__xludf.DUMMYFUNCTION("googlefinance(""NSE:""&amp;A6,""eps"")"),60.32)</f>
        <v>60.32</v>
      </c>
      <c r="H6" s="7">
        <f>IFERROR(__xludf.DUMMYFUNCTION("googlefinance(""NSE:""&amp;A6,""volume"")"),3458134.0)</f>
        <v>3458134</v>
      </c>
      <c r="I6" s="7">
        <f>IFERROR(__xludf.DUMMYFUNCTION("googlefinance(""NSE:""&amp;A6,""low52"")"),943.7)</f>
        <v>943.7</v>
      </c>
      <c r="J6" s="7">
        <f>IFERROR(__xludf.DUMMYFUNCTION("googlefinance(""NSE:""&amp;A6,""high52"")"),1838.0)</f>
        <v>1838</v>
      </c>
      <c r="K6" s="7">
        <f>IFERROR(__xludf.DUMMYFUNCTION("googlefinance(""NSE:""&amp;A6,""changepct"")"),2.75)</f>
        <v>2.75</v>
      </c>
    </row>
    <row r="7">
      <c r="A7" s="3" t="s">
        <v>16</v>
      </c>
      <c r="B7" s="4">
        <f>IFERROR(__xludf.DUMMYFUNCTION("googlefinance(""NSE:""&amp;A7,""price"")"),2592.0)</f>
        <v>2592</v>
      </c>
      <c r="C7" s="5">
        <f>IFERROR(__xludf.DUMMYFUNCTION("googlefinance(""NSE:""&amp;A7,""priceopen"")"),2591.0)</f>
        <v>2591</v>
      </c>
      <c r="D7" s="6">
        <f>IFERROR(__xludf.DUMMYFUNCTION("googlefinance(""NSE:""&amp;A7,""high"")"),2605.0)</f>
        <v>2605</v>
      </c>
      <c r="E7" s="7">
        <f>IFERROR(__xludf.DUMMYFUNCTION("googlefinance(""NSE:""&amp;A7,""price"")"),2592.0)</f>
        <v>2592</v>
      </c>
      <c r="F7" s="7">
        <f>IFERROR(__xludf.DUMMYFUNCTION("googlefinance(""NSE:""&amp;A7,""marketcap"")"),6.089787662802E12)</f>
        <v>6089787662802</v>
      </c>
      <c r="G7" s="7">
        <f>IFERROR(__xludf.DUMMYFUNCTION("googlefinance(""NSE:""&amp;A7,""eps"")"),39.0)</f>
        <v>39</v>
      </c>
      <c r="H7" s="7">
        <f>IFERROR(__xludf.DUMMYFUNCTION("googlefinance(""NSE:""&amp;A7,""volume"")"),712086.0)</f>
        <v>712086</v>
      </c>
      <c r="I7" s="7">
        <f>IFERROR(__xludf.DUMMYFUNCTION("googlefinance(""NSE:""&amp;A7,""low52"")"),1901.55)</f>
        <v>1901.55</v>
      </c>
      <c r="J7" s="7">
        <f>IFERROR(__xludf.DUMMYFUNCTION("googlefinance(""NSE:""&amp;A7,""high52"")"),2859.3)</f>
        <v>2859.3</v>
      </c>
      <c r="K7" s="7">
        <f>IFERROR(__xludf.DUMMYFUNCTION("googlefinance(""NSE:""&amp;A7,""changepct"")"),0.13)</f>
        <v>0.13</v>
      </c>
    </row>
    <row r="8">
      <c r="A8" s="8" t="s">
        <v>17</v>
      </c>
      <c r="B8" s="4">
        <f>IFERROR(__xludf.DUMMYFUNCTION("googlefinance(""NSE:""&amp;A8,""price"")"),905.5)</f>
        <v>905.5</v>
      </c>
      <c r="C8" s="5">
        <f>IFERROR(__xludf.DUMMYFUNCTION("googlefinance(""NSE:""&amp;A8,""priceopen"")"),905.05)</f>
        <v>905.05</v>
      </c>
      <c r="D8" s="6">
        <f>IFERROR(__xludf.DUMMYFUNCTION("googlefinance(""NSE:""&amp;A8,""high"")"),908.9)</f>
        <v>908.9</v>
      </c>
      <c r="E8" s="7">
        <f>IFERROR(__xludf.DUMMYFUNCTION("googlefinance(""NSE:""&amp;A8,""price"")"),905.5)</f>
        <v>905.5</v>
      </c>
      <c r="F8" s="7">
        <f>IFERROR(__xludf.DUMMYFUNCTION("googlefinance(""NSE:""&amp;A8,""marketcap"")"),6.306568868585E12)</f>
        <v>6306568868585</v>
      </c>
      <c r="G8" s="7">
        <f>IFERROR(__xludf.DUMMYFUNCTION("googlefinance(""NSE:""&amp;A8,""eps"")"),39.18)</f>
        <v>39.18</v>
      </c>
      <c r="H8" s="7">
        <f>IFERROR(__xludf.DUMMYFUNCTION("googlefinance(""NSE:""&amp;A8,""volume"")"),2697533.0)</f>
        <v>2697533</v>
      </c>
      <c r="I8" s="7">
        <f>IFERROR(__xludf.DUMMYFUNCTION("googlefinance(""NSE:""&amp;A8,""low52"")"),642.15)</f>
        <v>642.15</v>
      </c>
      <c r="J8" s="7">
        <f>IFERROR(__xludf.DUMMYFUNCTION("googlefinance(""NSE:""&amp;A8,""high52"")"),911.95)</f>
        <v>911.95</v>
      </c>
      <c r="K8" s="7">
        <f>IFERROR(__xludf.DUMMYFUNCTION("googlefinance(""NSE:""&amp;A8,""changepct"")"),0.47)</f>
        <v>0.47</v>
      </c>
    </row>
    <row r="9">
      <c r="A9" s="8" t="s">
        <v>18</v>
      </c>
      <c r="B9" s="4">
        <f>IFERROR(__xludf.DUMMYFUNCTION("googlefinance(""NSE:""&amp;A9,""price"")"),4251.7)</f>
        <v>4251.7</v>
      </c>
      <c r="C9" s="5">
        <f>IFERROR(__xludf.DUMMYFUNCTION("googlefinance(""NSE:""&amp;A9,""priceopen"")"),4260.0)</f>
        <v>4260</v>
      </c>
      <c r="D9" s="6">
        <f>IFERROR(__xludf.DUMMYFUNCTION("googlefinance(""NSE:""&amp;A9,""high"")"),4300.0)</f>
        <v>4300</v>
      </c>
      <c r="E9" s="7">
        <f>IFERROR(__xludf.DUMMYFUNCTION("googlefinance(""NSE:""&amp;A9,""price"")"),4251.7)</f>
        <v>4251.7</v>
      </c>
      <c r="F9" s="7">
        <f>IFERROR(__xludf.DUMMYFUNCTION("googlefinance(""NSE:""&amp;A9,""marketcap"")"),7.0543720785E11)</f>
        <v>705437207850</v>
      </c>
      <c r="G9" s="7">
        <f>IFERROR(__xludf.DUMMYFUNCTION("googlefinance(""NSE:""&amp;A9,""eps"")"),179.84)</f>
        <v>179.84</v>
      </c>
      <c r="H9" s="7">
        <f>IFERROR(__xludf.DUMMYFUNCTION("googlefinance(""NSE:""&amp;A9,""volume"")"),111236.0)</f>
        <v>111236</v>
      </c>
      <c r="I9" s="7">
        <f>IFERROR(__xludf.DUMMYFUNCTION("googlefinance(""NSE:""&amp;A9,""low52"")"),3654.0)</f>
        <v>3654</v>
      </c>
      <c r="J9" s="7">
        <f>IFERROR(__xludf.DUMMYFUNCTION("googlefinance(""NSE:""&amp;A9,""high52"")"),5077.0)</f>
        <v>5077</v>
      </c>
      <c r="K9" s="7">
        <f>IFERROR(__xludf.DUMMYFUNCTION("googlefinance(""NSE:""&amp;A9,""changepct"")"),-0.08)</f>
        <v>-0.08</v>
      </c>
    </row>
    <row r="10">
      <c r="A10" s="8" t="s">
        <v>19</v>
      </c>
      <c r="B10" s="4">
        <f>IFERROR(__xludf.DUMMYFUNCTION("googlefinance(""NSE:""&amp;A10,""price"")"),1499.25)</f>
        <v>1499.25</v>
      </c>
      <c r="C10" s="5">
        <f>IFERROR(__xludf.DUMMYFUNCTION("googlefinance(""NSE:""&amp;A10,""priceopen"")"),1500.0)</f>
        <v>1500</v>
      </c>
      <c r="D10" s="6">
        <f>IFERROR(__xludf.DUMMYFUNCTION("googlefinance(""NSE:""&amp;A10,""high"")"),1504.0)</f>
        <v>1504</v>
      </c>
      <c r="E10" s="7">
        <f>IFERROR(__xludf.DUMMYFUNCTION("googlefinance(""NSE:""&amp;A10,""price"")"),1499.25)</f>
        <v>1499.25</v>
      </c>
      <c r="F10" s="7">
        <f>IFERROR(__xludf.DUMMYFUNCTION("googlefinance(""NSE:""&amp;A10,""marketcap"")"),8.344663581E12)</f>
        <v>8344663581000</v>
      </c>
      <c r="G10" s="7">
        <f>IFERROR(__xludf.DUMMYFUNCTION("googlefinance(""NSE:""&amp;A10,""eps"")"),71.2)</f>
        <v>71.2</v>
      </c>
      <c r="H10" s="7">
        <f>IFERROR(__xludf.DUMMYFUNCTION("googlefinance(""NSE:""&amp;A10,""volume"")"),3120198.0)</f>
        <v>3120198</v>
      </c>
      <c r="I10" s="7">
        <f>IFERROR(__xludf.DUMMYFUNCTION("googlefinance(""NSE:""&amp;A10,""low52"")"),1271.6)</f>
        <v>1271.6</v>
      </c>
      <c r="J10" s="7">
        <f>IFERROR(__xludf.DUMMYFUNCTION("googlefinance(""NSE:""&amp;A10,""high52"")"),1725.0)</f>
        <v>1725</v>
      </c>
      <c r="K10" s="7">
        <f>IFERROR(__xludf.DUMMYFUNCTION("googlefinance(""NSE:""&amp;A10,""changepct"")"),0.04)</f>
        <v>0.04</v>
      </c>
    </row>
    <row r="11">
      <c r="A11" s="8" t="s">
        <v>20</v>
      </c>
      <c r="B11" s="4">
        <f>IFERROR(__xludf.DUMMYFUNCTION("googlefinance(""NSE:""&amp;A11,""price"")"),6874.05)</f>
        <v>6874.05</v>
      </c>
      <c r="C11" s="5">
        <f>IFERROR(__xludf.DUMMYFUNCTION("googlefinance(""NSE:""&amp;A11,""priceopen"")"),6783.65)</f>
        <v>6783.65</v>
      </c>
      <c r="D11" s="6">
        <f>IFERROR(__xludf.DUMMYFUNCTION("googlefinance(""NSE:""&amp;A11,""high"")"),6888.0)</f>
        <v>6888</v>
      </c>
      <c r="E11" s="7">
        <f>IFERROR(__xludf.DUMMYFUNCTION("googlefinance(""NSE:""&amp;A11,""price"")"),6874.05)</f>
        <v>6874.05</v>
      </c>
      <c r="F11" s="7">
        <f>IFERROR(__xludf.DUMMYFUNCTION("googlefinance(""NSE:""&amp;A11,""marketcap"")"),1.98251033392E12)</f>
        <v>1982510333920</v>
      </c>
      <c r="G11" s="7">
        <f>IFERROR(__xludf.DUMMYFUNCTION("googlefinance(""NSE:""&amp;A11,""eps"")"),250.42)</f>
        <v>250.42</v>
      </c>
      <c r="H11" s="7">
        <f>IFERROR(__xludf.DUMMYFUNCTION("googlefinance(""NSE:""&amp;A11,""volume"")"),259399.0)</f>
        <v>259399</v>
      </c>
      <c r="I11" s="7">
        <f>IFERROR(__xludf.DUMMYFUNCTION("googlefinance(""NSE:""&amp;A11,""low52"")"),5157.05)</f>
        <v>5157.05</v>
      </c>
      <c r="J11" s="7">
        <f>IFERROR(__xludf.DUMMYFUNCTION("googlefinance(""NSE:""&amp;A11,""high52"")"),8269.0)</f>
        <v>8269</v>
      </c>
      <c r="K11" s="7">
        <f>IFERROR(__xludf.DUMMYFUNCTION("googlefinance(""NSE:""&amp;A11,""changepct"")"),1.33)</f>
        <v>1.33</v>
      </c>
    </row>
    <row r="12">
      <c r="A12" s="3" t="s">
        <v>21</v>
      </c>
      <c r="B12" s="4">
        <f>IFERROR(__xludf.DUMMYFUNCTION("googlefinance(""NSE:""&amp;A12,""price"")"),3685.0)</f>
        <v>3685</v>
      </c>
      <c r="C12" s="5">
        <f>IFERROR(__xludf.DUMMYFUNCTION("googlefinance(""NSE:""&amp;A12,""priceopen"")"),3640.2)</f>
        <v>3640.2</v>
      </c>
      <c r="D12" s="6">
        <f>IFERROR(__xludf.DUMMYFUNCTION("googlefinance(""NSE:""&amp;A12,""high"")"),3695.0)</f>
        <v>3695</v>
      </c>
      <c r="E12" s="7">
        <f>IFERROR(__xludf.DUMMYFUNCTION("googlefinance(""NSE:""&amp;A12,""price"")"),3685.0)</f>
        <v>3685</v>
      </c>
      <c r="F12" s="7">
        <f>IFERROR(__xludf.DUMMYFUNCTION("googlefinance(""NSE:""&amp;A12,""marketcap"")"),8.875996855E11)</f>
        <v>887599685500</v>
      </c>
      <c r="G12" s="7">
        <f>IFERROR(__xludf.DUMMYFUNCTION("googlefinance(""NSE:""&amp;A12,""eps"")"),61.15)</f>
        <v>61.15</v>
      </c>
      <c r="H12" s="7">
        <f>IFERROR(__xludf.DUMMYFUNCTION("googlefinance(""NSE:""&amp;A12,""volume"")"),92106.0)</f>
        <v>92106</v>
      </c>
      <c r="I12" s="7">
        <f>IFERROR(__xludf.DUMMYFUNCTION("googlefinance(""NSE:""&amp;A12,""low52"")"),3050.0)</f>
        <v>3050</v>
      </c>
      <c r="J12" s="7">
        <f>IFERROR(__xludf.DUMMYFUNCTION("googlefinance(""NSE:""&amp;A12,""high52"")"),4153.0)</f>
        <v>4153</v>
      </c>
      <c r="K12" s="7">
        <f>IFERROR(__xludf.DUMMYFUNCTION("googlefinance(""NSE:""&amp;A12,""changepct"")"),0.97)</f>
        <v>0.97</v>
      </c>
    </row>
    <row r="13">
      <c r="A13" s="8" t="s">
        <v>22</v>
      </c>
      <c r="B13" s="4">
        <f>IFERROR(__xludf.DUMMYFUNCTION("googlefinance(""NSE:""&amp;A13,""price"")"),1541.15)</f>
        <v>1541.15</v>
      </c>
      <c r="C13" s="5">
        <f>IFERROR(__xludf.DUMMYFUNCTION("googlefinance(""NSE:""&amp;A13,""priceopen"")"),1525.8)</f>
        <v>1525.8</v>
      </c>
      <c r="D13" s="6">
        <f>IFERROR(__xludf.DUMMYFUNCTION("googlefinance(""NSE:""&amp;A13,""high"")"),1545.9)</f>
        <v>1545.9</v>
      </c>
      <c r="E13" s="7">
        <f>IFERROR(__xludf.DUMMYFUNCTION("googlefinance(""NSE:""&amp;A13,""price"")"),1541.15)</f>
        <v>1541.15</v>
      </c>
      <c r="F13" s="7">
        <f>IFERROR(__xludf.DUMMYFUNCTION("googlefinance(""NSE:""&amp;A13,""marketcap"")"),6.464655667187E12)</f>
        <v>6464655667187</v>
      </c>
      <c r="G13" s="7">
        <f>IFERROR(__xludf.DUMMYFUNCTION("googlefinance(""NSE:""&amp;A13,""eps"")"),52.98)</f>
        <v>52.98</v>
      </c>
      <c r="H13" s="7">
        <f>IFERROR(__xludf.DUMMYFUNCTION("googlefinance(""NSE:""&amp;A13,""volume"")"),3377892.0)</f>
        <v>3377892</v>
      </c>
      <c r="I13" s="7">
        <f>IFERROR(__xludf.DUMMYFUNCTION("googlefinance(""NSE:""&amp;A13,""low52"")"),1367.15)</f>
        <v>1367.15</v>
      </c>
      <c r="J13" s="7">
        <f>IFERROR(__xludf.DUMMYFUNCTION("googlefinance(""NSE:""&amp;A13,""high52"")"),1953.9)</f>
        <v>1953.9</v>
      </c>
      <c r="K13" s="7">
        <f>IFERROR(__xludf.DUMMYFUNCTION("googlefinance(""NSE:""&amp;A13,""changepct"")"),1.95)</f>
        <v>1.95</v>
      </c>
    </row>
    <row r="14">
      <c r="A14" s="3" t="s">
        <v>23</v>
      </c>
      <c r="B14" s="4">
        <f>IFERROR(__xludf.DUMMYFUNCTION("googlefinance(""NSE:""&amp;A14,""price"")"),2601.85)</f>
        <v>2601.85</v>
      </c>
      <c r="C14" s="5">
        <f>IFERROR(__xludf.DUMMYFUNCTION("googlefinance(""NSE:""&amp;A14,""priceopen"")"),2570.55)</f>
        <v>2570.55</v>
      </c>
      <c r="D14" s="6">
        <f>IFERROR(__xludf.DUMMYFUNCTION("googlefinance(""NSE:""&amp;A14,""high"")"),2605.0)</f>
        <v>2605</v>
      </c>
      <c r="E14" s="7">
        <f>IFERROR(__xludf.DUMMYFUNCTION("googlefinance(""NSE:""&amp;A14,""price"")"),2601.85)</f>
        <v>2601.85</v>
      </c>
      <c r="F14" s="7">
        <f>IFERROR(__xludf.DUMMYFUNCTION("googlefinance(""NSE:""&amp;A14,""marketcap"")"),1.7611353505863E13)</f>
        <v>17611353505863</v>
      </c>
      <c r="G14" s="7">
        <f>IFERROR(__xludf.DUMMYFUNCTION("googlefinance(""NSE:""&amp;A14,""eps"")"),98.8)</f>
        <v>98.8</v>
      </c>
      <c r="H14" s="7">
        <f>IFERROR(__xludf.DUMMYFUNCTION("googlefinance(""NSE:""&amp;A14,""volume"")"),1725289.0)</f>
        <v>1725289</v>
      </c>
      <c r="I14" s="7">
        <f>IFERROR(__xludf.DUMMYFUNCTION("googlefinance(""NSE:""&amp;A14,""low52"")"),2180.0)</f>
        <v>2180</v>
      </c>
      <c r="J14" s="7">
        <f>IFERROR(__xludf.DUMMYFUNCTION("googlefinance(""NSE:""&amp;A14,""high52"")"),2856.15)</f>
        <v>2856.15</v>
      </c>
      <c r="K14" s="7">
        <f>IFERROR(__xludf.DUMMYFUNCTION("googlefinance(""NSE:""&amp;A14,""changepct"")"),1.27)</f>
        <v>1.27</v>
      </c>
    </row>
    <row r="15">
      <c r="A15" s="8" t="s">
        <v>24</v>
      </c>
      <c r="B15" s="4">
        <f>IFERROR(__xludf.DUMMYFUNCTION("googlefinance(""NSE:""&amp;A15,""price"")"),24236.2)</f>
        <v>24236.2</v>
      </c>
      <c r="C15" s="5">
        <f>IFERROR(__xludf.DUMMYFUNCTION("googlefinance(""NSE:""&amp;A15,""priceopen"")"),24599.0)</f>
        <v>24599</v>
      </c>
      <c r="D15" s="6">
        <f>IFERROR(__xludf.DUMMYFUNCTION("googlefinance(""NSE:""&amp;A15,""high"")"),25000.0)</f>
        <v>25000</v>
      </c>
      <c r="E15" s="7">
        <f>IFERROR(__xludf.DUMMYFUNCTION("googlefinance(""NSE:""&amp;A15,""price"")"),24236.2)</f>
        <v>24236.2</v>
      </c>
      <c r="F15" s="7">
        <f>IFERROR(__xludf.DUMMYFUNCTION("googlefinance(""NSE:""&amp;A15,""marketcap"")"),8.751383487E11)</f>
        <v>875138348700</v>
      </c>
      <c r="G15" s="7">
        <f>IFERROR(__xludf.DUMMYFUNCTION("googlefinance(""NSE:""&amp;A15,""eps"")"),549.2)</f>
        <v>549.2</v>
      </c>
      <c r="H15" s="7">
        <f>IFERROR(__xludf.DUMMYFUNCTION("googlefinance(""NSE:""&amp;A15,""volume"")"),109675.0)</f>
        <v>109675</v>
      </c>
      <c r="I15" s="7">
        <f>IFERROR(__xludf.DUMMYFUNCTION("googlefinance(""NSE:""&amp;A15,""low52"")"),17865.2)</f>
        <v>17865.2</v>
      </c>
      <c r="J15" s="7">
        <f>IFERROR(__xludf.DUMMYFUNCTION("googlefinance(""NSE:""&amp;A15,""high52"")"),31469.95)</f>
        <v>31469.95</v>
      </c>
      <c r="K15" s="7">
        <f>IFERROR(__xludf.DUMMYFUNCTION("googlefinance(""NSE:""&amp;A15,""changepct"")"),-1.1)</f>
        <v>-1.1</v>
      </c>
    </row>
    <row r="16">
      <c r="A16" s="4" t="s">
        <v>25</v>
      </c>
      <c r="B16" s="4">
        <f>IFERROR(__xludf.DUMMYFUNCTION("googlefinance(""NSE:""&amp;A16,""price"")"),4327.0)</f>
        <v>4327</v>
      </c>
      <c r="C16" s="5">
        <f>IFERROR(__xludf.DUMMYFUNCTION("googlefinance(""NSE:""&amp;A16,""priceopen"")"),4290.0)</f>
        <v>4290</v>
      </c>
      <c r="D16" s="6">
        <f>IFERROR(__xludf.DUMMYFUNCTION("googlefinance(""NSE:""&amp;A16,""high"")"),4348.0)</f>
        <v>4348</v>
      </c>
      <c r="E16" s="7">
        <f>IFERROR(__xludf.DUMMYFUNCTION("googlefinance(""NSE:""&amp;A16,""price"")"),4327.0)</f>
        <v>4327</v>
      </c>
      <c r="F16" s="7">
        <f>IFERROR(__xludf.DUMMYFUNCTION("googlefinance(""NSE:""&amp;A16,""marketcap"")"),5.569935077E11)</f>
        <v>556993507700</v>
      </c>
      <c r="G16" s="7">
        <f>IFERROR(__xludf.DUMMYFUNCTION("googlefinance(""NSE:""&amp;A16,""eps"")"),985.95)</f>
        <v>985.95</v>
      </c>
      <c r="H16" s="7">
        <f>IFERROR(__xludf.DUMMYFUNCTION("googlefinance(""NSE:""&amp;A16,""volume"")"),165970.0)</f>
        <v>165970</v>
      </c>
      <c r="I16" s="7">
        <f>IFERROR(__xludf.DUMMYFUNCTION("googlefinance(""NSE:""&amp;A16,""low52"")"),3313.0)</f>
        <v>3313</v>
      </c>
      <c r="J16" s="7">
        <f>IFERROR(__xludf.DUMMYFUNCTION("googlefinance(""NSE:""&amp;A16,""high52"")"),7465.4)</f>
        <v>7465.4</v>
      </c>
      <c r="K16" s="7">
        <f>IFERROR(__xludf.DUMMYFUNCTION("googlefinance(""NSE:""&amp;A16,""changepct"")"),1.0)</f>
        <v>1</v>
      </c>
    </row>
    <row r="17">
      <c r="A17" s="3" t="s">
        <v>26</v>
      </c>
      <c r="B17" s="4">
        <f>IFERROR(__xludf.DUMMYFUNCTION("googlefinance(""NSE:""&amp;A17,""price"")"),2649.9)</f>
        <v>2649.9</v>
      </c>
      <c r="C17" s="5">
        <f>IFERROR(__xludf.DUMMYFUNCTION("googlefinance(""NSE:""&amp;A17,""priceopen"")"),2616.8)</f>
        <v>2616.8</v>
      </c>
      <c r="D17" s="6">
        <f>IFERROR(__xludf.DUMMYFUNCTION("googlefinance(""NSE:""&amp;A17,""high"")"),2653.25)</f>
        <v>2653.25</v>
      </c>
      <c r="E17" s="7">
        <f>IFERROR(__xludf.DUMMYFUNCTION("googlefinance(""NSE:""&amp;A17,""price"")"),2649.9)</f>
        <v>2649.9</v>
      </c>
      <c r="F17" s="7">
        <f>IFERROR(__xludf.DUMMYFUNCTION("googlefinance(""NSE:""&amp;A17,""marketcap"")"),2.358411178075E12)</f>
        <v>2358411178075</v>
      </c>
      <c r="G17" s="7">
        <f>IFERROR(__xludf.DUMMYFUNCTION("googlefinance(""NSE:""&amp;A17,""eps"")"),33.09)</f>
        <v>33.09</v>
      </c>
      <c r="H17" s="7">
        <f>IFERROR(__xludf.DUMMYFUNCTION("googlefinance(""NSE:""&amp;A17,""volume"")"),377755.0)</f>
        <v>377755</v>
      </c>
      <c r="I17" s="7">
        <f>IFERROR(__xludf.DUMMYFUNCTION("googlefinance(""NSE:""&amp;A17,""low52"")"),1825.05)</f>
        <v>1825.05</v>
      </c>
      <c r="J17" s="7">
        <f>IFERROR(__xludf.DUMMYFUNCTION("googlefinance(""NSE:""&amp;A17,""high52"")"),2768.0)</f>
        <v>2768</v>
      </c>
      <c r="K17" s="7">
        <f>IFERROR(__xludf.DUMMYFUNCTION("googlefinance(""NSE:""&amp;A17,""changepct"")"),1.78)</f>
        <v>1.78</v>
      </c>
    </row>
    <row r="18">
      <c r="A18" s="8" t="s">
        <v>27</v>
      </c>
      <c r="B18" s="4">
        <f>IFERROR(__xludf.DUMMYFUNCTION("googlefinance(""NSE:""&amp;A18,""price"")"),1062.0)</f>
        <v>1062</v>
      </c>
      <c r="C18" s="5">
        <f>IFERROR(__xludf.DUMMYFUNCTION("googlefinance(""NSE:""&amp;A18,""priceopen"")"),1058.3)</f>
        <v>1058.3</v>
      </c>
      <c r="D18" s="6">
        <f>IFERROR(__xludf.DUMMYFUNCTION("googlefinance(""NSE:""&amp;A18,""high"")"),1068.5)</f>
        <v>1068.5</v>
      </c>
      <c r="E18" s="7">
        <f>IFERROR(__xludf.DUMMYFUNCTION("googlefinance(""NSE:""&amp;A18,""price"")"),1062.0)</f>
        <v>1062</v>
      </c>
      <c r="F18" s="7">
        <f>IFERROR(__xludf.DUMMYFUNCTION("googlefinance(""NSE:""&amp;A18,""marketcap"")"),8.569892566E11)</f>
        <v>856989256600</v>
      </c>
      <c r="G18" s="7">
        <f>IFERROR(__xludf.DUMMYFUNCTION("googlefinance(""NSE:""&amp;A18,""eps"")"),30.81)</f>
        <v>30.81</v>
      </c>
      <c r="H18" s="7">
        <f>IFERROR(__xludf.DUMMYFUNCTION("googlefinance(""NSE:""&amp;A18,""volume"")"),477367.0)</f>
        <v>477367</v>
      </c>
      <c r="I18" s="7">
        <f>IFERROR(__xludf.DUMMYFUNCTION("googlefinance(""NSE:""&amp;A18,""low52"")"),850.0)</f>
        <v>850</v>
      </c>
      <c r="J18" s="7">
        <f>IFERROR(__xludf.DUMMYFUNCTION("googlefinance(""NSE:""&amp;A18,""high52"")"),1083.0)</f>
        <v>1083</v>
      </c>
      <c r="K18" s="7">
        <f>IFERROR(__xludf.DUMMYFUNCTION("googlefinance(""NSE:""&amp;A18,""changepct"")"),0.35)</f>
        <v>0.35</v>
      </c>
    </row>
    <row r="19">
      <c r="A19" s="8" t="s">
        <v>28</v>
      </c>
      <c r="B19" s="4">
        <f>IFERROR(__xludf.DUMMYFUNCTION("googlefinance(""NSE:""&amp;A19,""price"")"),17342.85)</f>
        <v>17342.85</v>
      </c>
      <c r="C19" s="5">
        <f>IFERROR(__xludf.DUMMYFUNCTION("googlefinance(""NSE:""&amp;A19,""priceopen"")"),17380.0)</f>
        <v>17380</v>
      </c>
      <c r="D19" s="6">
        <f>IFERROR(__xludf.DUMMYFUNCTION("googlefinance(""NSE:""&amp;A19,""high"")"),17420.0)</f>
        <v>17420</v>
      </c>
      <c r="E19" s="7">
        <f>IFERROR(__xludf.DUMMYFUNCTION("googlefinance(""NSE:""&amp;A19,""price"")"),17342.85)</f>
        <v>17342.85</v>
      </c>
      <c r="F19" s="7">
        <f>IFERROR(__xludf.DUMMYFUNCTION("googlefinance(""NSE:""&amp;A19,""marketcap"")"),2.759925478271E12)</f>
        <v>2759925478271</v>
      </c>
      <c r="G19" s="7">
        <f>IFERROR(__xludf.DUMMYFUNCTION("googlefinance(""NSE:""&amp;A19,""eps"")"),316.13)</f>
        <v>316.13</v>
      </c>
      <c r="H19" s="7">
        <f>IFERROR(__xludf.DUMMYFUNCTION("googlefinance(""NSE:""&amp;A19,""volume"")"),218541.0)</f>
        <v>218541</v>
      </c>
      <c r="I19" s="7">
        <f>IFERROR(__xludf.DUMMYFUNCTION("googlefinance(""NSE:""&amp;A19,""low52"")"),10727.2)</f>
        <v>10727.2</v>
      </c>
      <c r="J19" s="7">
        <f>IFERROR(__xludf.DUMMYFUNCTION("googlefinance(""NSE:""&amp;A19,""high52"")"),19325.0)</f>
        <v>19325</v>
      </c>
      <c r="K19" s="7">
        <f>IFERROR(__xludf.DUMMYFUNCTION("googlefinance(""NSE:""&amp;A19,""changepct"")"),0.8)</f>
        <v>0.8</v>
      </c>
    </row>
    <row r="20">
      <c r="A20" s="8" t="s">
        <v>29</v>
      </c>
      <c r="B20" s="4">
        <f>IFERROR(__xludf.DUMMYFUNCTION("googlefinance(""NSE:""&amp;A20,""price"")"),1305.85)</f>
        <v>1305.85</v>
      </c>
      <c r="C20" s="5">
        <f>IFERROR(__xludf.DUMMYFUNCTION("googlefinance(""NSE:""&amp;A20,""priceopen"")"),1297.8)</f>
        <v>1297.8</v>
      </c>
      <c r="D20" s="6">
        <f>IFERROR(__xludf.DUMMYFUNCTION("googlefinance(""NSE:""&amp;A20,""high"")"),1307.8)</f>
        <v>1307.8</v>
      </c>
      <c r="E20" s="7">
        <f>IFERROR(__xludf.DUMMYFUNCTION("googlefinance(""NSE:""&amp;A20,""price"")"),1305.85)</f>
        <v>1305.85</v>
      </c>
      <c r="F20" s="7">
        <f>IFERROR(__xludf.DUMMYFUNCTION("googlefinance(""NSE:""&amp;A20,""marketcap"")"),1.30668049617E12)</f>
        <v>1306680496170</v>
      </c>
      <c r="G20" s="7">
        <f>IFERROR(__xludf.DUMMYFUNCTION("googlefinance(""NSE:""&amp;A20,""eps"")"),15.44)</f>
        <v>15.44</v>
      </c>
      <c r="H20" s="7">
        <f>IFERROR(__xludf.DUMMYFUNCTION("googlefinance(""NSE:""&amp;A20,""volume"")"),794528.0)</f>
        <v>794528</v>
      </c>
      <c r="I20" s="7">
        <f>IFERROR(__xludf.DUMMYFUNCTION("googlefinance(""NSE:""&amp;A20,""low52"")"),1003.5)</f>
        <v>1003.5</v>
      </c>
      <c r="J20" s="7">
        <f>IFERROR(__xludf.DUMMYFUNCTION("googlefinance(""NSE:""&amp;A20,""high52"")"),1340.35)</f>
        <v>1340.35</v>
      </c>
      <c r="K20" s="7">
        <f>IFERROR(__xludf.DUMMYFUNCTION("googlefinance(""NSE:""&amp;A20,""changepct"")"),0.65)</f>
        <v>0.65</v>
      </c>
    </row>
    <row r="21">
      <c r="A21" s="8" t="s">
        <v>30</v>
      </c>
      <c r="B21" s="4">
        <f>IFERROR(__xludf.DUMMYFUNCTION("googlefinance(""NSE:""&amp;A21,""price"")"),107.3)</f>
        <v>107.3</v>
      </c>
      <c r="C21" s="5">
        <f>IFERROR(__xludf.DUMMYFUNCTION("googlefinance(""NSE:""&amp;A21,""priceopen"")"),106.8)</f>
        <v>106.8</v>
      </c>
      <c r="D21" s="6">
        <f>IFERROR(__xludf.DUMMYFUNCTION("googlefinance(""NSE:""&amp;A21,""high"")"),107.65)</f>
        <v>107.65</v>
      </c>
      <c r="E21" s="7">
        <f>IFERROR(__xludf.DUMMYFUNCTION("googlefinance(""NSE:""&amp;A21,""price"")"),107.3)</f>
        <v>107.3</v>
      </c>
      <c r="F21" s="7">
        <f>IFERROR(__xludf.DUMMYFUNCTION("googlefinance(""NSE:""&amp;A21,""marketcap"")"),1.310700654278E12)</f>
        <v>1310700654278</v>
      </c>
      <c r="G21" s="7">
        <f>IFERROR(__xludf.DUMMYFUNCTION("googlefinance(""NSE:""&amp;A21,""eps"")"),32.08)</f>
        <v>32.08</v>
      </c>
      <c r="H21" s="7">
        <f>IFERROR(__xludf.DUMMYFUNCTION("googlefinance(""NSE:""&amp;A21,""volume"")"),2.2821355E7)</f>
        <v>22821355</v>
      </c>
      <c r="I21" s="7">
        <f>IFERROR(__xludf.DUMMYFUNCTION("googlefinance(""NSE:""&amp;A21,""low52"")"),82.7)</f>
        <v>82.7</v>
      </c>
      <c r="J21" s="7">
        <f>IFERROR(__xludf.DUMMYFUNCTION("googlefinance(""NSE:""&amp;A21,""high52"")"),147.6)</f>
        <v>147.6</v>
      </c>
      <c r="K21" s="7">
        <f>IFERROR(__xludf.DUMMYFUNCTION("googlefinance(""NSE:""&amp;A21,""changepct"")"),1.51)</f>
        <v>1.51</v>
      </c>
    </row>
    <row r="22">
      <c r="A22" s="3" t="s">
        <v>31</v>
      </c>
      <c r="B22" s="4">
        <f>IFERROR(__xludf.DUMMYFUNCTION("googlefinance(""NSE:""&amp;A22,""price"")"),7298.1)</f>
        <v>7298.1</v>
      </c>
      <c r="C22" s="5">
        <f>IFERROR(__xludf.DUMMYFUNCTION("googlefinance(""NSE:""&amp;A22,""priceopen"")"),7216.85)</f>
        <v>7216.85</v>
      </c>
      <c r="D22" s="6">
        <f>IFERROR(__xludf.DUMMYFUNCTION("googlefinance(""NSE:""&amp;A22,""high"")"),7319.9)</f>
        <v>7319.9</v>
      </c>
      <c r="E22" s="7">
        <f>IFERROR(__xludf.DUMMYFUNCTION("googlefinance(""NSE:""&amp;A22,""price"")"),7298.1)</f>
        <v>7298.1</v>
      </c>
      <c r="F22" s="7">
        <f>IFERROR(__xludf.DUMMYFUNCTION("googlefinance(""NSE:""&amp;A22,""marketcap"")"),4.40670705E12)</f>
        <v>4406707050000</v>
      </c>
      <c r="G22" s="7">
        <f>IFERROR(__xludf.DUMMYFUNCTION("googlefinance(""NSE:""&amp;A22,""eps"")"),142.29)</f>
        <v>142.29</v>
      </c>
      <c r="H22" s="7">
        <f>IFERROR(__xludf.DUMMYFUNCTION("googlefinance(""NSE:""&amp;A22,""volume"")"),435652.0)</f>
        <v>435652</v>
      </c>
      <c r="I22" s="7">
        <f>IFERROR(__xludf.DUMMYFUNCTION("googlefinance(""NSE:""&amp;A22,""low52"")"),5220.0)</f>
        <v>5220</v>
      </c>
      <c r="J22" s="7">
        <f>IFERROR(__xludf.DUMMYFUNCTION("googlefinance(""NSE:""&amp;A22,""high52"")"),8050.0)</f>
        <v>8050</v>
      </c>
      <c r="K22" s="7">
        <f>IFERROR(__xludf.DUMMYFUNCTION("googlefinance(""NSE:""&amp;A22,""changepct"")"),1.63)</f>
        <v>1.63</v>
      </c>
    </row>
    <row r="23">
      <c r="A23" s="8" t="s">
        <v>14</v>
      </c>
      <c r="B23" s="4">
        <f>IFERROR(__xludf.DUMMYFUNCTION("googlefinance(""NSE:""&amp;A23,""price"")"),423.9)</f>
        <v>423.9</v>
      </c>
      <c r="C23" s="5">
        <f>IFERROR(__xludf.DUMMYFUNCTION("googlefinance(""NSE:""&amp;A23,""priceopen"")"),419.85)</f>
        <v>419.85</v>
      </c>
      <c r="D23" s="6">
        <f>IFERROR(__xludf.DUMMYFUNCTION("googlefinance(""NSE:""&amp;A23,""high"")"),424.4)</f>
        <v>424.4</v>
      </c>
      <c r="E23" s="7">
        <f>IFERROR(__xludf.DUMMYFUNCTION("googlefinance(""NSE:""&amp;A23,""price"")"),423.9)</f>
        <v>423.9</v>
      </c>
      <c r="F23" s="7">
        <f>IFERROR(__xludf.DUMMYFUNCTION("googlefinance(""NSE:""&amp;A23,""marketcap"")"),2.318846084591E12)</f>
        <v>2318846084591</v>
      </c>
      <c r="G23" s="7">
        <f>IFERROR(__xludf.DUMMYFUNCTION("googlefinance(""NSE:""&amp;A23,""eps"")"),21.06)</f>
        <v>21.06</v>
      </c>
      <c r="H23" s="7">
        <f>IFERROR(__xludf.DUMMYFUNCTION("googlefinance(""NSE:""&amp;A23,""volume"")"),3681724.0)</f>
        <v>3681724</v>
      </c>
      <c r="I23" s="7">
        <f>IFERROR(__xludf.DUMMYFUNCTION("googlefinance(""NSE:""&amp;A23,""low52"")"),391.0)</f>
        <v>391</v>
      </c>
      <c r="J23" s="7">
        <f>IFERROR(__xludf.DUMMYFUNCTION("googlefinance(""NSE:""&amp;A23,""high52"")"),739.85)</f>
        <v>739.85</v>
      </c>
      <c r="K23" s="7">
        <f>IFERROR(__xludf.DUMMYFUNCTION("googlefinance(""NSE:""&amp;A23,""changepct"")"),1.62)</f>
        <v>1.62</v>
      </c>
    </row>
    <row r="24">
      <c r="A24" s="8" t="s">
        <v>32</v>
      </c>
      <c r="B24" s="4">
        <f>IFERROR(__xludf.DUMMYFUNCTION("googlefinance(""NSE:""&amp;A24,""price"")"),576.35)</f>
        <v>576.35</v>
      </c>
      <c r="C24" s="5">
        <f>IFERROR(__xludf.DUMMYFUNCTION("googlefinance(""NSE:""&amp;A24,""priceopen"")"),578.0)</f>
        <v>578</v>
      </c>
      <c r="D24" s="6">
        <f>IFERROR(__xludf.DUMMYFUNCTION("googlefinance(""NSE:""&amp;A24,""high"")"),580.5)</f>
        <v>580.5</v>
      </c>
      <c r="E24" s="7">
        <f>IFERROR(__xludf.DUMMYFUNCTION("googlefinance(""NSE:""&amp;A24,""price"")"),576.35)</f>
        <v>576.35</v>
      </c>
      <c r="F24" s="7">
        <f>IFERROR(__xludf.DUMMYFUNCTION("googlefinance(""NSE:""&amp;A24,""marketcap"")"),1.217976773056E12)</f>
        <v>1217976773056</v>
      </c>
      <c r="G24" s="7">
        <f>IFERROR(__xludf.DUMMYFUNCTION("googlefinance(""NSE:""&amp;A24,""eps"")"),6.76)</f>
        <v>6.76</v>
      </c>
      <c r="H24" s="7">
        <f>IFERROR(__xludf.DUMMYFUNCTION("googlefinance(""NSE:""&amp;A24,""volume"")"),814743.0)</f>
        <v>814743</v>
      </c>
      <c r="I24" s="7">
        <f>IFERROR(__xludf.DUMMYFUNCTION("googlefinance(""NSE:""&amp;A24,""low52"")"),497.05)</f>
        <v>497.05</v>
      </c>
      <c r="J24" s="7">
        <f>IFERROR(__xludf.DUMMYFUNCTION("googlefinance(""NSE:""&amp;A24,""high52"")"),759.6)</f>
        <v>759.6</v>
      </c>
      <c r="K24" s="7">
        <f>IFERROR(__xludf.DUMMYFUNCTION("googlefinance(""NSE:""&amp;A24,""changepct"")"),0.07)</f>
        <v>0.07</v>
      </c>
    </row>
    <row r="25">
      <c r="A25" s="8" t="s">
        <v>33</v>
      </c>
      <c r="B25" s="4">
        <f>IFERROR(__xludf.DUMMYFUNCTION("googlefinance(""NSE:""&amp;A25,""price"")"),2863.0)</f>
        <v>2863</v>
      </c>
      <c r="C25" s="5">
        <f>IFERROR(__xludf.DUMMYFUNCTION("googlefinance(""NSE:""&amp;A25,""priceopen"")"),2847.0)</f>
        <v>2847</v>
      </c>
      <c r="D25" s="6">
        <f>IFERROR(__xludf.DUMMYFUNCTION("googlefinance(""NSE:""&amp;A25,""high"")"),2865.6)</f>
        <v>2865.6</v>
      </c>
      <c r="E25" s="7">
        <f>IFERROR(__xludf.DUMMYFUNCTION("googlefinance(""NSE:""&amp;A25,""price"")"),2863.0)</f>
        <v>2863</v>
      </c>
      <c r="F25" s="7">
        <f>IFERROR(__xludf.DUMMYFUNCTION("googlefinance(""NSE:""&amp;A25,""marketcap"")"),5.7214091415E11)</f>
        <v>572140914150</v>
      </c>
      <c r="G25" s="7">
        <f>IFERROR(__xludf.DUMMYFUNCTION("googlefinance(""NSE:""&amp;A25,""eps"")"),132.65)</f>
        <v>132.65</v>
      </c>
      <c r="H25" s="7">
        <f>IFERROR(__xludf.DUMMYFUNCTION("googlefinance(""NSE:""&amp;A25,""volume"")"),112000.0)</f>
        <v>112000</v>
      </c>
      <c r="I25" s="7">
        <f>IFERROR(__xludf.DUMMYFUNCTION("googlefinance(""NSE:""&amp;A25,""low52"")"),2146.85)</f>
        <v>2146.85</v>
      </c>
      <c r="J25" s="7">
        <f>IFERROR(__xludf.DUMMYFUNCTION("googlefinance(""NSE:""&amp;A25,""high52"")"),2954.45)</f>
        <v>2954.45</v>
      </c>
      <c r="K25" s="7">
        <f>IFERROR(__xludf.DUMMYFUNCTION("googlefinance(""NSE:""&amp;A25,""changepct"")"),0.86)</f>
        <v>0.86</v>
      </c>
    </row>
    <row r="26">
      <c r="A26" s="8" t="s">
        <v>34</v>
      </c>
      <c r="B26" s="4">
        <f>IFERROR(__xludf.DUMMYFUNCTION("googlefinance(""NSE:""&amp;A26,""price"")"),689.2)</f>
        <v>689.2</v>
      </c>
      <c r="C26" s="5">
        <f>IFERROR(__xludf.DUMMYFUNCTION("googlefinance(""NSE:""&amp;A26,""priceopen"")"),687.3)</f>
        <v>687.3</v>
      </c>
      <c r="D26" s="6">
        <f>IFERROR(__xludf.DUMMYFUNCTION("googlefinance(""NSE:""&amp;A26,""high"")"),694.4)</f>
        <v>694.4</v>
      </c>
      <c r="E26" s="7">
        <f>IFERROR(__xludf.DUMMYFUNCTION("googlefinance(""NSE:""&amp;A26,""price"")"),689.2)</f>
        <v>689.2</v>
      </c>
      <c r="F26" s="7">
        <f>IFERROR(__xludf.DUMMYFUNCTION("googlefinance(""NSE:""&amp;A26,""marketcap"")"),1.653026397913E12)</f>
        <v>1653026397913</v>
      </c>
      <c r="G26" s="7">
        <f>IFERROR(__xludf.DUMMYFUNCTION("googlefinance(""NSE:""&amp;A26,""eps"")"),64.43)</f>
        <v>64.43</v>
      </c>
      <c r="H26" s="7">
        <f>IFERROR(__xludf.DUMMYFUNCTION("googlefinance(""NSE:""&amp;A26,""volume"")"),1672827.0)</f>
        <v>1672827</v>
      </c>
      <c r="I26" s="7">
        <f>IFERROR(__xludf.DUMMYFUNCTION("googlefinance(""NSE:""&amp;A26,""low52"")"),520.05)</f>
        <v>520.05</v>
      </c>
      <c r="J26" s="7">
        <f>IFERROR(__xludf.DUMMYFUNCTION("googlefinance(""NSE:""&amp;A26,""high52"")"),790.0)</f>
        <v>790</v>
      </c>
      <c r="K26" s="7">
        <f>IFERROR(__xludf.DUMMYFUNCTION("googlefinance(""NSE:""&amp;A26,""changepct"")"),0.33)</f>
        <v>0.33</v>
      </c>
    </row>
    <row r="27">
      <c r="A27" s="8" t="s">
        <v>35</v>
      </c>
      <c r="B27" s="4">
        <f>IFERROR(__xludf.DUMMYFUNCTION("googlefinance(""NSE:""&amp;A27,""price"")"),1940.35)</f>
        <v>1940.35</v>
      </c>
      <c r="C27" s="5">
        <f>IFERROR(__xludf.DUMMYFUNCTION("googlefinance(""NSE:""&amp;A27,""priceopen"")"),1925.0)</f>
        <v>1925</v>
      </c>
      <c r="D27" s="6">
        <f>IFERROR(__xludf.DUMMYFUNCTION("googlefinance(""NSE:""&amp;A27,""high"")"),1944.0)</f>
        <v>1944</v>
      </c>
      <c r="E27" s="7">
        <f>IFERROR(__xludf.DUMMYFUNCTION("googlefinance(""NSE:""&amp;A27,""price"")"),1940.35)</f>
        <v>1940.35</v>
      </c>
      <c r="F27" s="7">
        <f>IFERROR(__xludf.DUMMYFUNCTION("googlefinance(""NSE:""&amp;A27,""marketcap"")"),3.858264553663E12)</f>
        <v>3858264553663</v>
      </c>
      <c r="G27" s="7">
        <f>IFERROR(__xludf.DUMMYFUNCTION("googlefinance(""NSE:""&amp;A27,""eps"")"),65.71)</f>
        <v>65.71</v>
      </c>
      <c r="H27" s="7">
        <f>IFERROR(__xludf.DUMMYFUNCTION("googlefinance(""NSE:""&amp;A27,""volume"")"),613781.0)</f>
        <v>613781</v>
      </c>
      <c r="I27" s="7">
        <f>IFERROR(__xludf.DUMMYFUNCTION("googlefinance(""NSE:""&amp;A27,""low52"")"),1631.0)</f>
        <v>1631</v>
      </c>
      <c r="J27" s="7">
        <f>IFERROR(__xludf.DUMMYFUNCTION("googlefinance(""NSE:""&amp;A27,""high52"")"),2253.0)</f>
        <v>2253</v>
      </c>
      <c r="K27" s="7">
        <f>IFERROR(__xludf.DUMMYFUNCTION("googlefinance(""NSE:""&amp;A27,""changepct"")"),0.73)</f>
        <v>0.73</v>
      </c>
    </row>
    <row r="28">
      <c r="A28" s="8" t="s">
        <v>36</v>
      </c>
      <c r="B28" s="4">
        <f>IFERROR(__xludf.DUMMYFUNCTION("googlefinance(""NSE:""&amp;A28,""price"")"),330.75)</f>
        <v>330.75</v>
      </c>
      <c r="C28" s="5">
        <f>IFERROR(__xludf.DUMMYFUNCTION("googlefinance(""NSE:""&amp;A28,""priceopen"")"),332.0)</f>
        <v>332</v>
      </c>
      <c r="D28" s="6">
        <f>IFERROR(__xludf.DUMMYFUNCTION("googlefinance(""NSE:""&amp;A28,""high"")"),332.4)</f>
        <v>332.4</v>
      </c>
      <c r="E28" s="7">
        <f>IFERROR(__xludf.DUMMYFUNCTION("googlefinance(""NSE:""&amp;A28,""price"")"),330.75)</f>
        <v>330.75</v>
      </c>
      <c r="F28" s="7">
        <f>IFERROR(__xludf.DUMMYFUNCTION("googlefinance(""NSE:""&amp;A28,""marketcap"")"),4.09894506E12)</f>
        <v>4098945060000</v>
      </c>
      <c r="G28" s="7">
        <f>IFERROR(__xludf.DUMMYFUNCTION("googlefinance(""NSE:""&amp;A28,""eps"")"),13.28)</f>
        <v>13.28</v>
      </c>
      <c r="H28" s="7">
        <f>IFERROR(__xludf.DUMMYFUNCTION("googlefinance(""NSE:""&amp;A28,""volume"")"),4105682.0)</f>
        <v>4105682</v>
      </c>
      <c r="I28" s="7">
        <f>IFERROR(__xludf.DUMMYFUNCTION("googlefinance(""NSE:""&amp;A28,""low52"")"),207.0)</f>
        <v>207</v>
      </c>
      <c r="J28" s="7">
        <f>IFERROR(__xludf.DUMMYFUNCTION("googlefinance(""NSE:""&amp;A28,""high52"")"),333.3)</f>
        <v>333.3</v>
      </c>
      <c r="K28" s="7">
        <f>IFERROR(__xludf.DUMMYFUNCTION("googlefinance(""NSE:""&amp;A28,""changepct"")"),0.08)</f>
        <v>0.08</v>
      </c>
    </row>
    <row r="29">
      <c r="A29" s="8" t="s">
        <v>37</v>
      </c>
      <c r="B29" s="4">
        <f>IFERROR(__xludf.DUMMYFUNCTION("googlefinance(""NSE:""&amp;A29,""price"")"),19107.0)</f>
        <v>19107</v>
      </c>
      <c r="C29" s="5">
        <f>IFERROR(__xludf.DUMMYFUNCTION("googlefinance(""NSE:""&amp;A29,""priceopen"")"),19051.55)</f>
        <v>19051.55</v>
      </c>
      <c r="D29" s="6">
        <f>IFERROR(__xludf.DUMMYFUNCTION("googlefinance(""NSE:""&amp;A29,""high"")"),19159.95)</f>
        <v>19159.95</v>
      </c>
      <c r="E29" s="7">
        <f>IFERROR(__xludf.DUMMYFUNCTION("googlefinance(""NSE:""&amp;A29,""price"")"),19107.0)</f>
        <v>19107</v>
      </c>
      <c r="F29" s="7">
        <f>IFERROR(__xludf.DUMMYFUNCTION("googlefinance(""NSE:""&amp;A29,""marketcap"")"),1.84221516204E12)</f>
        <v>1842215162040</v>
      </c>
      <c r="G29" s="7">
        <f>IFERROR(__xludf.DUMMYFUNCTION("googlefinance(""NSE:""&amp;A29,""eps"")"),219.27)</f>
        <v>219.27</v>
      </c>
      <c r="H29" s="7">
        <f>IFERROR(__xludf.DUMMYFUNCTION("googlefinance(""NSE:""&amp;A29,""volume"")"),11815.0)</f>
        <v>11815</v>
      </c>
      <c r="I29" s="7">
        <f>IFERROR(__xludf.DUMMYFUNCTION("googlefinance(""NSE:""&amp;A29,""low52"")"),16000.0)</f>
        <v>16000</v>
      </c>
      <c r="J29" s="7">
        <f>IFERROR(__xludf.DUMMYFUNCTION("googlefinance(""NSE:""&amp;A29,""high52"")"),20609.15)</f>
        <v>20609.15</v>
      </c>
      <c r="K29" s="7">
        <f>IFERROR(__xludf.DUMMYFUNCTION("googlefinance(""NSE:""&amp;A29,""changepct"")"),0.29)</f>
        <v>0.29</v>
      </c>
    </row>
    <row r="30">
      <c r="A30" s="8" t="s">
        <v>38</v>
      </c>
      <c r="B30" s="4">
        <f>IFERROR(__xludf.DUMMYFUNCTION("googlefinance(""NSE:""&amp;A30,""price"")"),8970.0)</f>
        <v>8970</v>
      </c>
      <c r="C30" s="5">
        <f>IFERROR(__xludf.DUMMYFUNCTION("googlefinance(""NSE:""&amp;A30,""priceopen"")"),8969.9)</f>
        <v>8969.9</v>
      </c>
      <c r="D30" s="6">
        <f>IFERROR(__xludf.DUMMYFUNCTION("googlefinance(""NSE:""&amp;A30,""high"")"),9012.3)</f>
        <v>9012.3</v>
      </c>
      <c r="E30" s="7">
        <f>IFERROR(__xludf.DUMMYFUNCTION("googlefinance(""NSE:""&amp;A30,""price"")"),8970.0)</f>
        <v>8970</v>
      </c>
      <c r="F30" s="7">
        <f>IFERROR(__xludf.DUMMYFUNCTION("googlefinance(""NSE:""&amp;A30,""marketcap"")"),2.7096576E12)</f>
        <v>2709657600000</v>
      </c>
      <c r="G30" s="7">
        <f>IFERROR(__xludf.DUMMYFUNCTION("googlefinance(""NSE:""&amp;A30,""eps"")"),147.01)</f>
        <v>147.01</v>
      </c>
      <c r="H30" s="7">
        <f>IFERROR(__xludf.DUMMYFUNCTION("googlefinance(""NSE:""&amp;A30,""volume"")"),193518.0)</f>
        <v>193518</v>
      </c>
      <c r="I30" s="7">
        <f>IFERROR(__xludf.DUMMYFUNCTION("googlefinance(""NSE:""&amp;A30,""low52"")"),6536.55)</f>
        <v>6536.55</v>
      </c>
      <c r="J30" s="7">
        <f>IFERROR(__xludf.DUMMYFUNCTION("googlefinance(""NSE:""&amp;A30,""high52"")"),9233.65)</f>
        <v>9233.65</v>
      </c>
      <c r="K30" s="7">
        <f>IFERROR(__xludf.DUMMYFUNCTION("googlefinance(""NSE:""&amp;A30,""changepct"")"),0.27)</f>
        <v>0.27</v>
      </c>
    </row>
    <row r="31">
      <c r="A31" s="8" t="s">
        <v>39</v>
      </c>
      <c r="B31" s="4">
        <f>IFERROR(__xludf.DUMMYFUNCTION("googlefinance(""NSE:""&amp;A31,""price"")"),92.75)</f>
        <v>92.75</v>
      </c>
      <c r="C31" s="5">
        <f>IFERROR(__xludf.DUMMYFUNCTION("googlefinance(""NSE:""&amp;A31,""priceopen"")"),92.7)</f>
        <v>92.7</v>
      </c>
      <c r="D31" s="6">
        <f>IFERROR(__xludf.DUMMYFUNCTION("googlefinance(""NSE:""&amp;A31,""high"")"),93.1)</f>
        <v>93.1</v>
      </c>
      <c r="E31" s="7">
        <f>IFERROR(__xludf.DUMMYFUNCTION("googlefinance(""NSE:""&amp;A31,""price"")"),92.75)</f>
        <v>92.75</v>
      </c>
      <c r="F31" s="7">
        <f>IFERROR(__xludf.DUMMYFUNCTION("googlefinance(""NSE:""&amp;A31,""marketcap"")"),6.10497932117E11)</f>
        <v>610497932117</v>
      </c>
      <c r="G31" s="7">
        <f>IFERROR(__xludf.DUMMYFUNCTION("googlefinance(""NSE:""&amp;A31,""eps"")"),20.08)</f>
        <v>20.08</v>
      </c>
      <c r="H31" s="7">
        <f>IFERROR(__xludf.DUMMYFUNCTION("googlefinance(""NSE:""&amp;A31,""volume"")"),3572081.0)</f>
        <v>3572081</v>
      </c>
      <c r="I31" s="7">
        <f>IFERROR(__xludf.DUMMYFUNCTION("googlefinance(""NSE:""&amp;A31,""low52"")"),83.47)</f>
        <v>83.47</v>
      </c>
      <c r="J31" s="7">
        <f>IFERROR(__xludf.DUMMYFUNCTION("googlefinance(""NSE:""&amp;A31,""high52"")"),115.67)</f>
        <v>115.67</v>
      </c>
      <c r="K31" s="7">
        <f>IFERROR(__xludf.DUMMYFUNCTION("googlefinance(""NSE:""&amp;A31,""changepct"")"),0.38)</f>
        <v>0.38</v>
      </c>
    </row>
    <row r="32">
      <c r="A32" s="8" t="s">
        <v>40</v>
      </c>
      <c r="B32" s="4">
        <f>IFERROR(__xludf.DUMMYFUNCTION("googlefinance(""NSE:""&amp;A32,""price"")"),557.5)</f>
        <v>557.5</v>
      </c>
      <c r="C32" s="5">
        <f>IFERROR(__xludf.DUMMYFUNCTION("googlefinance(""NSE:""&amp;A32,""priceopen"")"),554.9)</f>
        <v>554.9</v>
      </c>
      <c r="D32" s="6">
        <f>IFERROR(__xludf.DUMMYFUNCTION("googlefinance(""NSE:""&amp;A32,""high"")"),558.6)</f>
        <v>558.6</v>
      </c>
      <c r="E32" s="7">
        <f>IFERROR(__xludf.DUMMYFUNCTION("googlefinance(""NSE:""&amp;A32,""price"")"),557.5)</f>
        <v>557.5</v>
      </c>
      <c r="F32" s="7">
        <f>IFERROR(__xludf.DUMMYFUNCTION("googlefinance(""NSE:""&amp;A32,""marketcap"")"),4.9754650575E12)</f>
        <v>4975465057500</v>
      </c>
      <c r="G32" s="7">
        <f>IFERROR(__xludf.DUMMYFUNCTION("googlefinance(""NSE:""&amp;A32,""eps"")"),39.58)</f>
        <v>39.58</v>
      </c>
      <c r="H32" s="7">
        <f>IFERROR(__xludf.DUMMYFUNCTION("googlefinance(""NSE:""&amp;A32,""volume"")"),5918823.0)</f>
        <v>5918823</v>
      </c>
      <c r="I32" s="7">
        <f>IFERROR(__xludf.DUMMYFUNCTION("googlefinance(""NSE:""&amp;A32,""low52"")"),425.0)</f>
        <v>425</v>
      </c>
      <c r="J32" s="7">
        <f>IFERROR(__xludf.DUMMYFUNCTION("googlefinance(""NSE:""&amp;A32,""high52"")"),558.6)</f>
        <v>558.6</v>
      </c>
      <c r="K32" s="7">
        <f>IFERROR(__xludf.DUMMYFUNCTION("googlefinance(""NSE:""&amp;A32,""changepct"")"),0.75)</f>
        <v>0.75</v>
      </c>
      <c r="M32" s="4" t="s">
        <v>41</v>
      </c>
    </row>
    <row r="33">
      <c r="A33" s="8" t="s">
        <v>42</v>
      </c>
      <c r="B33" s="4">
        <f>IFERROR(__xludf.DUMMYFUNCTION("googlefinance(""NSE:""&amp;A33,""price"")"),1769.75)</f>
        <v>1769.75</v>
      </c>
      <c r="C33" s="5">
        <f>IFERROR(__xludf.DUMMYFUNCTION("googlefinance(""NSE:""&amp;A33,""priceopen"")"),1747.0)</f>
        <v>1747</v>
      </c>
      <c r="D33" s="6">
        <f>IFERROR(__xludf.DUMMYFUNCTION("googlefinance(""NSE:""&amp;A33,""high"")"),1772.0)</f>
        <v>1772</v>
      </c>
      <c r="E33" s="7">
        <f>IFERROR(__xludf.DUMMYFUNCTION("googlefinance(""NSE:""&amp;A33,""price"")"),1769.75)</f>
        <v>1769.75</v>
      </c>
      <c r="F33" s="7">
        <f>IFERROR(__xludf.DUMMYFUNCTION("googlefinance(""NSE:""&amp;A33,""marketcap"")"),1.161821984792E12)</f>
        <v>1161821984792</v>
      </c>
      <c r="G33" s="7">
        <f>IFERROR(__xludf.DUMMYFUNCTION("googlefinance(""NSE:""&amp;A33,""eps"")"),118.83)</f>
        <v>118.83</v>
      </c>
      <c r="H33" s="7">
        <f>IFERROR(__xludf.DUMMYFUNCTION("googlefinance(""NSE:""&amp;A33,""volume"")"),215688.0)</f>
        <v>215688</v>
      </c>
      <c r="I33" s="7">
        <f>IFERROR(__xludf.DUMMYFUNCTION("googlefinance(""NSE:""&amp;A33,""low52"")"),1276.6)</f>
        <v>1276.6</v>
      </c>
      <c r="J33" s="7">
        <f>IFERROR(__xludf.DUMMYFUNCTION("googlefinance(""NSE:""&amp;A33,""high52"")"),1929.8)</f>
        <v>1929.8</v>
      </c>
      <c r="K33" s="7">
        <f>IFERROR(__xludf.DUMMYFUNCTION("googlefinance(""NSE:""&amp;A33,""changepct"")"),1.23)</f>
        <v>1.23</v>
      </c>
    </row>
    <row r="34">
      <c r="A34" s="8" t="s">
        <v>43</v>
      </c>
      <c r="B34" s="4">
        <f>IFERROR(__xludf.DUMMYFUNCTION("googlefinance(""NSE:""&amp;A34,""price"")"),3651.8)</f>
        <v>3651.8</v>
      </c>
      <c r="C34" s="5">
        <f>IFERROR(__xludf.DUMMYFUNCTION("googlefinance(""NSE:""&amp;A34,""priceopen"")"),3610.4)</f>
        <v>3610.4</v>
      </c>
      <c r="D34" s="6">
        <f>IFERROR(__xludf.DUMMYFUNCTION("googlefinance(""NSE:""&amp;A34,""high"")"),3657.05)</f>
        <v>3657.05</v>
      </c>
      <c r="E34" s="7">
        <f>IFERROR(__xludf.DUMMYFUNCTION("googlefinance(""NSE:""&amp;A34,""price"")"),3651.8)</f>
        <v>3651.8</v>
      </c>
      <c r="F34" s="7">
        <f>IFERROR(__xludf.DUMMYFUNCTION("googlefinance(""NSE:""&amp;A34,""marketcap"")"),9.697564305E11)</f>
        <v>969756430500</v>
      </c>
      <c r="G34" s="7">
        <f>IFERROR(__xludf.DUMMYFUNCTION("googlefinance(""NSE:""&amp;A34,""eps"")"),116.97)</f>
        <v>116.97</v>
      </c>
      <c r="H34" s="7">
        <f>IFERROR(__xludf.DUMMYFUNCTION("googlefinance(""NSE:""&amp;A34,""volume"")"),155711.0)</f>
        <v>155711</v>
      </c>
      <c r="I34" s="7">
        <f>IFERROR(__xludf.DUMMYFUNCTION("googlefinance(""NSE:""&amp;A34,""low52"")"),3365.55)</f>
        <v>3365.55</v>
      </c>
      <c r="J34" s="7">
        <f>IFERROR(__xludf.DUMMYFUNCTION("googlefinance(""NSE:""&amp;A34,""high52"")"),5425.1)</f>
        <v>5425.1</v>
      </c>
      <c r="K34" s="7">
        <f>IFERROR(__xludf.DUMMYFUNCTION("googlefinance(""NSE:""&amp;A34,""changepct"")"),1.35)</f>
        <v>1.35</v>
      </c>
    </row>
    <row r="35">
      <c r="A35" s="8" t="s">
        <v>44</v>
      </c>
      <c r="B35" s="4">
        <f>IFERROR(__xludf.DUMMYFUNCTION("googlefinance(""NSE:""&amp;A35,""price"")"),888.75)</f>
        <v>888.75</v>
      </c>
      <c r="C35" s="5">
        <f>IFERROR(__xludf.DUMMYFUNCTION("googlefinance(""NSE:""&amp;A35,""priceopen"")"),891.2)</f>
        <v>891.2</v>
      </c>
      <c r="D35" s="6">
        <f>IFERROR(__xludf.DUMMYFUNCTION("googlefinance(""NSE:""&amp;A35,""high"")"),895.15)</f>
        <v>895.15</v>
      </c>
      <c r="E35" s="7">
        <f>IFERROR(__xludf.DUMMYFUNCTION("googlefinance(""NSE:""&amp;A35,""price"")"),888.75)</f>
        <v>888.75</v>
      </c>
      <c r="F35" s="7">
        <f>IFERROR(__xludf.DUMMYFUNCTION("googlefinance(""NSE:""&amp;A35,""marketcap"")"),2.1324080925E12)</f>
        <v>2132408092500</v>
      </c>
      <c r="G35" s="7">
        <f>IFERROR(__xludf.DUMMYFUNCTION("googlefinance(""NSE:""&amp;A35,""eps"")"),16.17)</f>
        <v>16.17</v>
      </c>
      <c r="H35" s="7">
        <f>IFERROR(__xludf.DUMMYFUNCTION("googlefinance(""NSE:""&amp;A35,""volume"")"),411490.0)</f>
        <v>411490</v>
      </c>
      <c r="I35" s="7">
        <f>IFERROR(__xludf.DUMMYFUNCTION("googlefinance(""NSE:""&amp;A35,""low52"")"),733.7)</f>
        <v>733.7</v>
      </c>
      <c r="J35" s="7">
        <f>IFERROR(__xludf.DUMMYFUNCTION("googlefinance(""NSE:""&amp;A35,""high52"")"),967.05)</f>
        <v>967.05</v>
      </c>
      <c r="K35" s="7">
        <f>IFERROR(__xludf.DUMMYFUNCTION("googlefinance(""NSE:""&amp;A35,""changepct"")"),-0.14)</f>
        <v>-0.14</v>
      </c>
    </row>
    <row r="36">
      <c r="A36" s="4" t="s">
        <v>45</v>
      </c>
      <c r="B36" s="4">
        <f>IFERROR(__xludf.DUMMYFUNCTION("googlefinance(""NSE:""&amp;A36,""price"")"),1269.2)</f>
        <v>1269.2</v>
      </c>
      <c r="C36" s="5">
        <f>IFERROR(__xludf.DUMMYFUNCTION("googlefinance(""NSE:""&amp;A36,""priceopen"")"),1269.9)</f>
        <v>1269.9</v>
      </c>
      <c r="D36" s="6">
        <f>IFERROR(__xludf.DUMMYFUNCTION("googlefinance(""NSE:""&amp;A36,""high"")"),1279.9)</f>
        <v>1279.9</v>
      </c>
      <c r="E36" s="7">
        <f>IFERROR(__xludf.DUMMYFUNCTION("googlefinance(""NSE:""&amp;A36,""price"")"),1269.2)</f>
        <v>1269.2</v>
      </c>
      <c r="F36" s="7">
        <f>IFERROR(__xludf.DUMMYFUNCTION("googlefinance(""NSE:""&amp;A36,""marketcap"")"),6.4605856658E10)</f>
        <v>64605856658</v>
      </c>
      <c r="G36" s="7">
        <f>IFERROR(__xludf.DUMMYFUNCTION("googlefinance(""NSE:""&amp;A36,""eps"")"),28.51)</f>
        <v>28.51</v>
      </c>
      <c r="H36" s="7">
        <f>IFERROR(__xludf.DUMMYFUNCTION("googlefinance(""NSE:""&amp;A36,""volume"")"),121633.0)</f>
        <v>121633</v>
      </c>
      <c r="I36" s="7">
        <f>IFERROR(__xludf.DUMMYFUNCTION("googlefinance(""NSE:""&amp;A36,""low52"")"),1143.0)</f>
        <v>1143</v>
      </c>
      <c r="J36" s="7">
        <f>IFERROR(__xludf.DUMMYFUNCTION("googlefinance(""NSE:""&amp;A36,""high52"")"),2135.0)</f>
        <v>2135</v>
      </c>
      <c r="K36" s="7">
        <f>IFERROR(__xludf.DUMMYFUNCTION("googlefinance(""NSE:""&amp;A36,""changepct"")"),0.22)</f>
        <v>0.22</v>
      </c>
    </row>
    <row r="37">
      <c r="A37" s="4" t="s">
        <v>46</v>
      </c>
      <c r="B37" s="4">
        <f>IFERROR(__xludf.DUMMYFUNCTION("googlefinance(""NSE:""&amp;A37,""price"")"),3451.0)</f>
        <v>3451</v>
      </c>
      <c r="C37" s="5">
        <f>IFERROR(__xludf.DUMMYFUNCTION("googlefinance(""NSE:""&amp;A37,""priceopen"")"),3433.5)</f>
        <v>3433.5</v>
      </c>
      <c r="D37" s="6">
        <f>IFERROR(__xludf.DUMMYFUNCTION("googlefinance(""NSE:""&amp;A37,""high"")"),3478.5)</f>
        <v>3478.5</v>
      </c>
      <c r="E37" s="7">
        <f>IFERROR(__xludf.DUMMYFUNCTION("googlefinance(""NSE:""&amp;A37,""price"")"),3451.0)</f>
        <v>3451</v>
      </c>
      <c r="F37" s="7">
        <f>IFERROR(__xludf.DUMMYFUNCTION("googlefinance(""NSE:""&amp;A37,""marketcap"")"),2.56047615E11)</f>
        <v>256047615000</v>
      </c>
      <c r="G37" s="7">
        <f>IFERROR(__xludf.DUMMYFUNCTION("googlefinance(""NSE:""&amp;A37,""eps"")"),99.04)</f>
        <v>99.04</v>
      </c>
      <c r="H37" s="7">
        <f>IFERROR(__xludf.DUMMYFUNCTION("googlefinance(""NSE:""&amp;A37,""volume"")"),210081.0)</f>
        <v>210081</v>
      </c>
      <c r="I37" s="7">
        <f>IFERROR(__xludf.DUMMYFUNCTION("googlefinance(""NSE:""&amp;A37,""low52"")"),3102.0)</f>
        <v>3102</v>
      </c>
      <c r="J37" s="7">
        <f>IFERROR(__xludf.DUMMYFUNCTION("googlefinance(""NSE:""&amp;A37,""high52"")"),4987.5)</f>
        <v>4987.5</v>
      </c>
      <c r="K37" s="7">
        <f>IFERROR(__xludf.DUMMYFUNCTION("googlefinance(""NSE:""&amp;A37,""changepct"")"),1.7)</f>
        <v>1.7</v>
      </c>
    </row>
    <row r="38">
      <c r="A38" s="8" t="s">
        <v>47</v>
      </c>
      <c r="B38" s="4">
        <f>IFERROR(__xludf.DUMMYFUNCTION("googlefinance(""NSE:""&amp;A38,""price"")"),2426.1)</f>
        <v>2426.1</v>
      </c>
      <c r="C38" s="5">
        <f>IFERROR(__xludf.DUMMYFUNCTION("googlefinance(""NSE:""&amp;A38,""priceopen"")"),2430.0)</f>
        <v>2430</v>
      </c>
      <c r="D38" s="6">
        <f>IFERROR(__xludf.DUMMYFUNCTION("googlefinance(""NSE:""&amp;A38,""high"")"),2436.85)</f>
        <v>2436.85</v>
      </c>
      <c r="E38" s="7">
        <f>IFERROR(__xludf.DUMMYFUNCTION("googlefinance(""NSE:""&amp;A38,""price"")"),2426.1)</f>
        <v>2426.1</v>
      </c>
      <c r="F38" s="7">
        <f>IFERROR(__xludf.DUMMYFUNCTION("googlefinance(""NSE:""&amp;A38,""marketcap"")"),4.405309016463E12)</f>
        <v>4405309016463</v>
      </c>
      <c r="G38" s="7">
        <f>IFERROR(__xludf.DUMMYFUNCTION("googlefinance(""NSE:""&amp;A38,""eps"")"),125.12)</f>
        <v>125.12</v>
      </c>
      <c r="H38" s="7">
        <f>IFERROR(__xludf.DUMMYFUNCTION("googlefinance(""NSE:""&amp;A38,""volume"")"),1504843.0)</f>
        <v>1504843</v>
      </c>
      <c r="I38" s="7">
        <f>IFERROR(__xludf.DUMMYFUNCTION("googlefinance(""NSE:""&amp;A38,""low52"")"),2026.0)</f>
        <v>2026</v>
      </c>
      <c r="J38" s="7">
        <f>IFERROR(__xludf.DUMMYFUNCTION("googlefinance(""NSE:""&amp;A38,""high52"")"),3021.1)</f>
        <v>3021.1</v>
      </c>
      <c r="K38" s="7">
        <f>IFERROR(__xludf.DUMMYFUNCTION("googlefinance(""NSE:""&amp;A38,""changepct"")"),-0.22)</f>
        <v>-0.22</v>
      </c>
    </row>
    <row r="39">
      <c r="A39" s="8" t="s">
        <v>48</v>
      </c>
      <c r="B39" s="4">
        <f>IFERROR(__xludf.DUMMYFUNCTION("googlefinance(""NSE:""&amp;A39,""price"")"),1298.8)</f>
        <v>1298.8</v>
      </c>
      <c r="C39" s="5">
        <f>IFERROR(__xludf.DUMMYFUNCTION("googlefinance(""NSE:""&amp;A39,""priceopen"")"),1308.0)</f>
        <v>1308</v>
      </c>
      <c r="D39" s="6">
        <f>IFERROR(__xludf.DUMMYFUNCTION("googlefinance(""NSE:""&amp;A39,""high"")"),1315.6)</f>
        <v>1315.6</v>
      </c>
      <c r="E39" s="7">
        <f>IFERROR(__xludf.DUMMYFUNCTION("googlefinance(""NSE:""&amp;A39,""price"")"),1298.8)</f>
        <v>1298.8</v>
      </c>
      <c r="F39" s="7">
        <f>IFERROR(__xludf.DUMMYFUNCTION("googlefinance(""NSE:""&amp;A39,""marketcap"")"),1.553403954E12)</f>
        <v>1553403954000</v>
      </c>
      <c r="G39" s="7">
        <f>IFERROR(__xludf.DUMMYFUNCTION("googlefinance(""NSE:""&amp;A39,""eps"")"),74.83)</f>
        <v>74.83</v>
      </c>
      <c r="H39" s="7">
        <f>IFERROR(__xludf.DUMMYFUNCTION("googlefinance(""NSE:""&amp;A39,""volume"")"),1494710.0)</f>
        <v>1494710</v>
      </c>
      <c r="I39" s="7">
        <f>IFERROR(__xludf.DUMMYFUNCTION("googlefinance(""NSE:""&amp;A39,""low52"")"),671.15)</f>
        <v>671.15</v>
      </c>
      <c r="J39" s="7">
        <f>IFERROR(__xludf.DUMMYFUNCTION("googlefinance(""NSE:""&amp;A39,""high52"")"),1338.0)</f>
        <v>1338</v>
      </c>
      <c r="K39" s="7">
        <f>IFERROR(__xludf.DUMMYFUNCTION("googlefinance(""NSE:""&amp;A39,""changepct"")"),-0.19)</f>
        <v>-0.19</v>
      </c>
    </row>
    <row r="40">
      <c r="A40" s="8" t="s">
        <v>49</v>
      </c>
      <c r="B40" s="4">
        <f>IFERROR(__xludf.DUMMYFUNCTION("googlefinance(""NSE:""&amp;A40,""price"")"),3512.0)</f>
        <v>3512</v>
      </c>
      <c r="C40" s="5">
        <f>IFERROR(__xludf.DUMMYFUNCTION("googlefinance(""NSE:""&amp;A40,""priceopen"")"),3484.0)</f>
        <v>3484</v>
      </c>
      <c r="D40" s="6">
        <f>IFERROR(__xludf.DUMMYFUNCTION("googlefinance(""NSE:""&amp;A40,""high"")"),3518.95)</f>
        <v>3518.95</v>
      </c>
      <c r="E40" s="7">
        <f>IFERROR(__xludf.DUMMYFUNCTION("googlefinance(""NSE:""&amp;A40,""price"")"),3512.0)</f>
        <v>3512</v>
      </c>
      <c r="F40" s="7">
        <f>IFERROR(__xludf.DUMMYFUNCTION("googlefinance(""NSE:""&amp;A40,""marketcap"")"),9.603764184E11)</f>
        <v>960376418400</v>
      </c>
      <c r="G40" s="7">
        <f>IFERROR(__xludf.DUMMYFUNCTION("googlefinance(""NSE:""&amp;A40,""eps"")"),74.9)</f>
        <v>74.9</v>
      </c>
      <c r="H40" s="7">
        <f>IFERROR(__xludf.DUMMYFUNCTION("googlefinance(""NSE:""&amp;A40,""volume"")"),327716.0)</f>
        <v>327716</v>
      </c>
      <c r="I40" s="7">
        <f>IFERROR(__xludf.DUMMYFUNCTION("googlefinance(""NSE:""&amp;A40,""low52"")"),2159.55)</f>
        <v>2159.55</v>
      </c>
      <c r="J40" s="7">
        <f>IFERROR(__xludf.DUMMYFUNCTION("googlefinance(""NSE:""&amp;A40,""high52"")"),3518.95)</f>
        <v>3518.95</v>
      </c>
      <c r="K40" s="7">
        <f>IFERROR(__xludf.DUMMYFUNCTION("googlefinance(""NSE:""&amp;A40,""changepct"")"),1.12)</f>
        <v>1.12</v>
      </c>
    </row>
    <row r="41">
      <c r="A41" s="8" t="s">
        <v>50</v>
      </c>
      <c r="B41" s="4">
        <f>IFERROR(__xludf.DUMMYFUNCTION("googlefinance(""NSE:""&amp;A41,""price"")"),431.3)</f>
        <v>431.3</v>
      </c>
      <c r="C41" s="5">
        <f>IFERROR(__xludf.DUMMYFUNCTION("googlefinance(""NSE:""&amp;A41,""priceopen"")"),432.0)</f>
        <v>432</v>
      </c>
      <c r="D41" s="6">
        <f>IFERROR(__xludf.DUMMYFUNCTION("googlefinance(""NSE:""&amp;A41,""high"")"),432.9)</f>
        <v>432.9</v>
      </c>
      <c r="E41" s="7">
        <f>IFERROR(__xludf.DUMMYFUNCTION("googlefinance(""NSE:""&amp;A41,""price"")"),431.3)</f>
        <v>431.3</v>
      </c>
      <c r="F41" s="7">
        <f>IFERROR(__xludf.DUMMYFUNCTION("googlefinance(""NSE:""&amp;A41,""marketcap"")"),9.66391023748E11)</f>
        <v>966391023748</v>
      </c>
      <c r="G41" s="7">
        <f>IFERROR(__xludf.DUMMYFUNCTION("googlefinance(""NSE:""&amp;A41,""eps"")"),67.64)</f>
        <v>67.64</v>
      </c>
      <c r="H41" s="7">
        <f>IFERROR(__xludf.DUMMYFUNCTION("googlefinance(""NSE:""&amp;A41,""volume"")"),2906735.0)</f>
        <v>2906735</v>
      </c>
      <c r="I41" s="7">
        <f>IFERROR(__xludf.DUMMYFUNCTION("googlefinance(""NSE:""&amp;A41,""low52"")"),308.95)</f>
        <v>308.95</v>
      </c>
      <c r="J41" s="7">
        <f>IFERROR(__xludf.DUMMYFUNCTION("googlefinance(""NSE:""&amp;A41,""high52"")"),636.0)</f>
        <v>636</v>
      </c>
      <c r="K41" s="7">
        <f>IFERROR(__xludf.DUMMYFUNCTION("googlefinance(""NSE:""&amp;A41,""changepct"")"),1.24)</f>
        <v>1.24</v>
      </c>
    </row>
    <row r="42">
      <c r="A42" s="8" t="s">
        <v>51</v>
      </c>
      <c r="B42" s="4">
        <f>IFERROR(__xludf.DUMMYFUNCTION("googlefinance(""NSE:""&amp;A42,""price"")"),72.25)</f>
        <v>72.25</v>
      </c>
      <c r="C42" s="5">
        <f>IFERROR(__xludf.DUMMYFUNCTION("googlefinance(""NSE:""&amp;A42,""priceopen"")"),72.85)</f>
        <v>72.85</v>
      </c>
      <c r="D42" s="6">
        <f>IFERROR(__xludf.DUMMYFUNCTION("googlefinance(""NSE:""&amp;A42,""high"")"),72.95)</f>
        <v>72.95</v>
      </c>
      <c r="E42" s="7">
        <f>IFERROR(__xludf.DUMMYFUNCTION("googlefinance(""NSE:""&amp;A42,""price"")"),72.25)</f>
        <v>72.25</v>
      </c>
      <c r="F42" s="7">
        <f>IFERROR(__xludf.DUMMYFUNCTION("googlefinance(""NSE:""&amp;A42,""marketcap"")"),1.02025959E12)</f>
        <v>1020259590000</v>
      </c>
      <c r="G42" s="7">
        <f>IFERROR(__xludf.DUMMYFUNCTION("googlefinance(""NSE:""&amp;A42,""eps"")"),13.48)</f>
        <v>13.48</v>
      </c>
      <c r="H42" s="7">
        <f>IFERROR(__xludf.DUMMYFUNCTION("googlefinance(""NSE:""&amp;A42,""volume"")"),5310110.0)</f>
        <v>5310110</v>
      </c>
      <c r="I42" s="7">
        <f>IFERROR(__xludf.DUMMYFUNCTION("googlefinance(""NSE:""&amp;A42,""low52"")"),67.7)</f>
        <v>67.7</v>
      </c>
      <c r="J42" s="7">
        <f>IFERROR(__xludf.DUMMYFUNCTION("googlefinance(""NSE:""&amp;A42,""high52"")"),94.33)</f>
        <v>94.33</v>
      </c>
      <c r="K42" s="7">
        <f>IFERROR(__xludf.DUMMYFUNCTION("googlefinance(""NSE:""&amp;A42,""changepct"")"),-0.41)</f>
        <v>-0.41</v>
      </c>
    </row>
    <row r="43">
      <c r="A43" s="8" t="s">
        <v>52</v>
      </c>
      <c r="B43" s="4">
        <f>IFERROR(__xludf.DUMMYFUNCTION("googlefinance(""NSE:""&amp;A43,""price"")"),3650.0)</f>
        <v>3650</v>
      </c>
      <c r="C43" s="5">
        <f>IFERROR(__xludf.DUMMYFUNCTION("googlefinance(""NSE:""&amp;A43,""priceopen"")"),3589.0)</f>
        <v>3589</v>
      </c>
      <c r="D43" s="6">
        <f>IFERROR(__xludf.DUMMYFUNCTION("googlefinance(""NSE:""&amp;A43,""high"")"),3654.0)</f>
        <v>3654</v>
      </c>
      <c r="E43" s="7">
        <f>IFERROR(__xludf.DUMMYFUNCTION("googlefinance(""NSE:""&amp;A43,""price"")"),3650.0)</f>
        <v>3650</v>
      </c>
      <c r="F43" s="7">
        <f>IFERROR(__xludf.DUMMYFUNCTION("googlefinance(""NSE:""&amp;A43,""marketcap"")"),2.22406153559E11)</f>
        <v>222406153559</v>
      </c>
      <c r="G43" s="7">
        <f>IFERROR(__xludf.DUMMYFUNCTION("googlefinance(""NSE:""&amp;A43,""eps"")"),69.64)</f>
        <v>69.64</v>
      </c>
      <c r="H43" s="7">
        <f>IFERROR(__xludf.DUMMYFUNCTION("googlefinance(""NSE:""&amp;A43,""volume"")"),138001.0)</f>
        <v>138001</v>
      </c>
      <c r="I43" s="7">
        <f>IFERROR(__xludf.DUMMYFUNCTION("googlefinance(""NSE:""&amp;A43,""low52"")"),3218.1)</f>
        <v>3218.1</v>
      </c>
      <c r="J43" s="7">
        <f>IFERROR(__xludf.DUMMYFUNCTION("googlefinance(""NSE:""&amp;A43,""high52"")"),6135.0)</f>
        <v>6135</v>
      </c>
      <c r="K43" s="7">
        <f>IFERROR(__xludf.DUMMYFUNCTION("googlefinance(""NSE:""&amp;A43,""changepct"")"),2.3)</f>
        <v>2.3</v>
      </c>
    </row>
    <row r="44">
      <c r="A44" s="8" t="s">
        <v>53</v>
      </c>
      <c r="B44" s="4">
        <f>IFERROR(__xludf.DUMMYFUNCTION("googlefinance(""NSE:""&amp;A44,""price"")"),3868.0)</f>
        <v>3868</v>
      </c>
      <c r="C44" s="5">
        <f>IFERROR(__xludf.DUMMYFUNCTION("googlefinance(""NSE:""&amp;A44,""priceopen"")"),3840.0)</f>
        <v>3840</v>
      </c>
      <c r="D44" s="6">
        <f>IFERROR(__xludf.DUMMYFUNCTION("googlefinance(""NSE:""&amp;A44,""high"")"),3889.8)</f>
        <v>3889.8</v>
      </c>
      <c r="E44" s="7">
        <f>IFERROR(__xludf.DUMMYFUNCTION("googlefinance(""NSE:""&amp;A44,""price"")"),3868.0)</f>
        <v>3868</v>
      </c>
      <c r="F44" s="7">
        <f>IFERROR(__xludf.DUMMYFUNCTION("googlefinance(""NSE:""&amp;A44,""marketcap"")"),1.119271556E12)</f>
        <v>1119271556000</v>
      </c>
      <c r="G44" s="7">
        <f>IFERROR(__xludf.DUMMYFUNCTION("googlefinance(""NSE:""&amp;A44,""eps"")"),212.94)</f>
        <v>212.94</v>
      </c>
      <c r="H44" s="7">
        <f>IFERROR(__xludf.DUMMYFUNCTION("googlefinance(""NSE:""&amp;A44,""volume"")"),236500.0)</f>
        <v>236500</v>
      </c>
      <c r="I44" s="7">
        <f>IFERROR(__xludf.DUMMYFUNCTION("googlefinance(""NSE:""&amp;A44,""low52"")"),3027.05)</f>
        <v>3027.05</v>
      </c>
      <c r="J44" s="7">
        <f>IFERROR(__xludf.DUMMYFUNCTION("googlefinance(""NSE:""&amp;A44,""high52"")"),4131.75)</f>
        <v>4131.75</v>
      </c>
      <c r="K44" s="7">
        <f>IFERROR(__xludf.DUMMYFUNCTION("googlefinance(""NSE:""&amp;A44,""changepct"")"),0.5)</f>
        <v>0.5</v>
      </c>
    </row>
    <row r="45">
      <c r="A45" s="4" t="s">
        <v>54</v>
      </c>
      <c r="B45" s="4">
        <f>IFERROR(__xludf.DUMMYFUNCTION("googlefinance(""NSE:""&amp;A45,""price"")"),2152.4)</f>
        <v>2152.4</v>
      </c>
      <c r="C45" s="5">
        <f>IFERROR(__xludf.DUMMYFUNCTION("googlefinance(""NSE:""&amp;A45,""priceopen"")"),2166.0)</f>
        <v>2166</v>
      </c>
      <c r="D45" s="6">
        <f>IFERROR(__xludf.DUMMYFUNCTION("googlefinance(""NSE:""&amp;A45,""high"")"),2178.85)</f>
        <v>2178.85</v>
      </c>
      <c r="E45" s="7">
        <f>IFERROR(__xludf.DUMMYFUNCTION("googlefinance(""NSE:""&amp;A45,""price"")"),2152.4)</f>
        <v>2152.4</v>
      </c>
      <c r="F45" s="7">
        <f>IFERROR(__xludf.DUMMYFUNCTION("googlefinance(""NSE:""&amp;A45,""marketcap"")"),4.052733998E11)</f>
        <v>405273399800</v>
      </c>
      <c r="G45" s="7">
        <f>IFERROR(__xludf.DUMMYFUNCTION("googlefinance(""NSE:""&amp;A45,""eps"")"),78.63)</f>
        <v>78.63</v>
      </c>
      <c r="H45" s="7">
        <f>IFERROR(__xludf.DUMMYFUNCTION("googlefinance(""NSE:""&amp;A45,""volume"")"),283582.0)</f>
        <v>283582</v>
      </c>
      <c r="I45" s="7">
        <f>IFERROR(__xludf.DUMMYFUNCTION("googlefinance(""NSE:""&amp;A45,""low52"")"),2035.0)</f>
        <v>2035</v>
      </c>
      <c r="J45" s="7">
        <f>IFERROR(__xludf.DUMMYFUNCTION("googlefinance(""NSE:""&amp;A45,""high52"")"),3659.75)</f>
        <v>3659.75</v>
      </c>
      <c r="K45" s="7">
        <f>IFERROR(__xludf.DUMMYFUNCTION("googlefinance(""NSE:""&amp;A45,""changepct"")"),0.35)</f>
        <v>0.35</v>
      </c>
    </row>
    <row r="46">
      <c r="A46" s="8" t="s">
        <v>55</v>
      </c>
      <c r="B46" s="4">
        <f>IFERROR(__xludf.DUMMYFUNCTION("googlefinance(""NSE:""&amp;A46,""price"")"),4327.0)</f>
        <v>4327</v>
      </c>
      <c r="C46" s="5">
        <f>IFERROR(__xludf.DUMMYFUNCTION("googlefinance(""NSE:""&amp;A46,""priceopen"")"),4290.0)</f>
        <v>4290</v>
      </c>
      <c r="D46" s="6">
        <f>IFERROR(__xludf.DUMMYFUNCTION("googlefinance(""NSE:""&amp;A46,""high"")"),4348.0)</f>
        <v>4348</v>
      </c>
      <c r="E46" s="7">
        <f>IFERROR(__xludf.DUMMYFUNCTION("googlefinance(""NSE:""&amp;A46,""price"")"),4327.0)</f>
        <v>4327</v>
      </c>
      <c r="F46" s="7">
        <f>IFERROR(__xludf.DUMMYFUNCTION("googlefinance(""NSE:""&amp;A46,""marketcap"")"),5.569935077E11)</f>
        <v>556993507700</v>
      </c>
      <c r="G46" s="7">
        <f>IFERROR(__xludf.DUMMYFUNCTION("googlefinance(""NSE:""&amp;A46,""eps"")"),985.95)</f>
        <v>985.95</v>
      </c>
      <c r="H46" s="7">
        <f>IFERROR(__xludf.DUMMYFUNCTION("googlefinance(""NSE:""&amp;A46,""volume"")"),165970.0)</f>
        <v>165970</v>
      </c>
      <c r="I46" s="7">
        <f>IFERROR(__xludf.DUMMYFUNCTION("googlefinance(""NSE:""&amp;A46,""low52"")"),3313.0)</f>
        <v>3313</v>
      </c>
      <c r="J46" s="7">
        <f>IFERROR(__xludf.DUMMYFUNCTION("googlefinance(""NSE:""&amp;A46,""high52"")"),7465.4)</f>
        <v>7465.4</v>
      </c>
      <c r="K46" s="7">
        <f>IFERROR(__xludf.DUMMYFUNCTION("googlefinance(""NSE:""&amp;A46,""changepct"")"),1.0)</f>
        <v>1</v>
      </c>
    </row>
    <row r="47">
      <c r="A47" s="8" t="s">
        <v>56</v>
      </c>
      <c r="B47" s="4">
        <f>IFERROR(__xludf.DUMMYFUNCTION("googlefinance(""NSE:""&amp;A47,""price"")"),936.45)</f>
        <v>936.45</v>
      </c>
      <c r="C47" s="5">
        <f>IFERROR(__xludf.DUMMYFUNCTION("googlefinance(""NSE:""&amp;A47,""priceopen"")"),914.7)</f>
        <v>914.7</v>
      </c>
      <c r="D47" s="6">
        <f>IFERROR(__xludf.DUMMYFUNCTION("googlefinance(""NSE:""&amp;A47,""high"")"),937.85)</f>
        <v>937.85</v>
      </c>
      <c r="E47" s="7">
        <f>IFERROR(__xludf.DUMMYFUNCTION("googlefinance(""NSE:""&amp;A47,""price"")"),936.45)</f>
        <v>936.45</v>
      </c>
      <c r="F47" s="7">
        <f>IFERROR(__xludf.DUMMYFUNCTION("googlefinance(""NSE:""&amp;A47,""marketcap"")"),1.97769533593E12)</f>
        <v>1977695335930</v>
      </c>
      <c r="G47" s="7">
        <f>IFERROR(__xludf.DUMMYFUNCTION("googlefinance(""NSE:""&amp;A47,""eps"")"),21.42)</f>
        <v>21.42</v>
      </c>
      <c r="H47" s="7">
        <f>IFERROR(__xludf.DUMMYFUNCTION("googlefinance(""NSE:""&amp;A47,""volume"")"),8037180.0)</f>
        <v>8037180</v>
      </c>
      <c r="I47" s="7">
        <f>IFERROR(__xludf.DUMMYFUNCTION("googlefinance(""NSE:""&amp;A47,""low52"")"),651.95)</f>
        <v>651.95</v>
      </c>
      <c r="J47" s="7">
        <f>IFERROR(__xludf.DUMMYFUNCTION("googlefinance(""NSE:""&amp;A47,""high52"")"),937.85)</f>
        <v>937.85</v>
      </c>
      <c r="K47" s="7">
        <f>IFERROR(__xludf.DUMMYFUNCTION("googlefinance(""NSE:""&amp;A47,""changepct"")"),3.26)</f>
        <v>3.26</v>
      </c>
    </row>
    <row r="48">
      <c r="A48" s="8" t="s">
        <v>57</v>
      </c>
      <c r="B48" s="4">
        <f>IFERROR(__xludf.DUMMYFUNCTION("googlefinance(""NSE:""&amp;A48,""price"")"),450.2)</f>
        <v>450.2</v>
      </c>
      <c r="C48" s="5">
        <f>IFERROR(__xludf.DUMMYFUNCTION("googlefinance(""NSE:""&amp;A48,""priceopen"")"),447.7)</f>
        <v>447.7</v>
      </c>
      <c r="D48" s="6">
        <f>IFERROR(__xludf.DUMMYFUNCTION("googlefinance(""NSE:""&amp;A48,""high"")"),450.5)</f>
        <v>450.5</v>
      </c>
      <c r="E48" s="7">
        <f>IFERROR(__xludf.DUMMYFUNCTION("googlefinance(""NSE:""&amp;A48,""price"")"),450.2)</f>
        <v>450.2</v>
      </c>
      <c r="F48" s="7">
        <f>IFERROR(__xludf.DUMMYFUNCTION("googlefinance(""NSE:""&amp;A48,""marketcap"")"),1.609143150631E12)</f>
        <v>1609143150631</v>
      </c>
      <c r="G48" s="7">
        <f>IFERROR(__xludf.DUMMYFUNCTION("googlefinance(""NSE:""&amp;A48,""eps"")"),-31.8)</f>
        <v>-31.8</v>
      </c>
      <c r="H48" s="7">
        <f>IFERROR(__xludf.DUMMYFUNCTION("googlefinance(""NSE:""&amp;A48,""volume"")"),4066229.0)</f>
        <v>4066229</v>
      </c>
      <c r="I48" s="7">
        <f>IFERROR(__xludf.DUMMYFUNCTION("googlefinance(""NSE:""&amp;A48,""low52"")"),293.1)</f>
        <v>293.1</v>
      </c>
      <c r="J48" s="7">
        <f>IFERROR(__xludf.DUMMYFUNCTION("googlefinance(""NSE:""&amp;A48,""high52"")"),536.7)</f>
        <v>536.7</v>
      </c>
      <c r="K48" s="7">
        <f>IFERROR(__xludf.DUMMYFUNCTION("googlefinance(""NSE:""&amp;A48,""changepct"")"),0.96)</f>
        <v>0.96</v>
      </c>
    </row>
    <row r="49">
      <c r="A49" s="8" t="s">
        <v>58</v>
      </c>
      <c r="B49" s="4">
        <f>IFERROR(__xludf.DUMMYFUNCTION("googlefinance(""NSE:""&amp;A49,""price"")"),3403.5)</f>
        <v>3403.5</v>
      </c>
      <c r="C49" s="5">
        <f>IFERROR(__xludf.DUMMYFUNCTION("googlefinance(""NSE:""&amp;A49,""priceopen"")"),3345.0)</f>
        <v>3345</v>
      </c>
      <c r="D49" s="6">
        <f>IFERROR(__xludf.DUMMYFUNCTION("googlefinance(""NSE:""&amp;A49,""high"")"),3403.6)</f>
        <v>3403.6</v>
      </c>
      <c r="E49" s="7">
        <f>IFERROR(__xludf.DUMMYFUNCTION("googlefinance(""NSE:""&amp;A49,""price"")"),3403.5)</f>
        <v>3403.5</v>
      </c>
      <c r="F49" s="7">
        <f>IFERROR(__xludf.DUMMYFUNCTION("googlefinance(""NSE:""&amp;A49,""marketcap"")"),5.610566936E11)</f>
        <v>561056693600</v>
      </c>
      <c r="G49" s="7">
        <f>IFERROR(__xludf.DUMMYFUNCTION("googlefinance(""NSE:""&amp;A49,""eps"")"),107.96)</f>
        <v>107.96</v>
      </c>
      <c r="H49" s="7">
        <f>IFERROR(__xludf.DUMMYFUNCTION("googlefinance(""NSE:""&amp;A49,""volume"")"),441307.0)</f>
        <v>441307</v>
      </c>
      <c r="I49" s="7">
        <f>IFERROR(__xludf.DUMMYFUNCTION("googlefinance(""NSE:""&amp;A49,""low52"")"),2649.2)</f>
        <v>2649.2</v>
      </c>
      <c r="J49" s="7">
        <f>IFERROR(__xludf.DUMMYFUNCTION("googlefinance(""NSE:""&amp;A49,""high52"")"),5060.0)</f>
        <v>5060</v>
      </c>
      <c r="K49" s="7">
        <f>IFERROR(__xludf.DUMMYFUNCTION("googlefinance(""NSE:""&amp;A49,""changepct"")"),2.84)</f>
        <v>2.84</v>
      </c>
    </row>
    <row r="50">
      <c r="A50" s="4" t="s">
        <v>59</v>
      </c>
      <c r="B50" s="4">
        <f>IFERROR(__xludf.DUMMYFUNCTION("googlefinance(""NSE:""&amp;A50,""price"")"),889.3)</f>
        <v>889.3</v>
      </c>
      <c r="C50" s="5">
        <f>IFERROR(__xludf.DUMMYFUNCTION("googlefinance(""NSE:""&amp;A50,""priceopen"")"),861.1)</f>
        <v>861.1</v>
      </c>
      <c r="D50" s="6">
        <f>IFERROR(__xludf.DUMMYFUNCTION("googlefinance(""NSE:""&amp;A50,""high"")"),889.9)</f>
        <v>889.9</v>
      </c>
      <c r="E50" s="7">
        <f>IFERROR(__xludf.DUMMYFUNCTION("googlefinance(""NSE:""&amp;A50,""price"")"),889.3)</f>
        <v>889.3</v>
      </c>
      <c r="F50" s="7">
        <f>IFERROR(__xludf.DUMMYFUNCTION("googlefinance(""NSE:""&amp;A50,""marketcap"")"),3.22084804E11)</f>
        <v>322084804000</v>
      </c>
      <c r="G50" s="7">
        <f>IFERROR(__xludf.DUMMYFUNCTION("googlefinance(""NSE:""&amp;A50,""eps"")"),36.73)</f>
        <v>36.73</v>
      </c>
      <c r="H50" s="7">
        <f>IFERROR(__xludf.DUMMYFUNCTION("googlefinance(""NSE:""&amp;A50,""volume"")"),529485.0)</f>
        <v>529485</v>
      </c>
      <c r="I50" s="7">
        <f>IFERROR(__xludf.DUMMYFUNCTION("googlefinance(""NSE:""&amp;A50,""low52"")"),668.85)</f>
        <v>668.85</v>
      </c>
      <c r="J50" s="7">
        <f>IFERROR(__xludf.DUMMYFUNCTION("googlefinance(""NSE:""&amp;A50,""high52"")"),1168.0)</f>
        <v>1168</v>
      </c>
      <c r="K50" s="7">
        <f>IFERROR(__xludf.DUMMYFUNCTION("googlefinance(""NSE:""&amp;A50,""changepct"")"),3.43)</f>
        <v>3.43</v>
      </c>
    </row>
    <row r="51">
      <c r="A51" s="8" t="s">
        <v>60</v>
      </c>
      <c r="B51" s="4">
        <f>IFERROR(__xludf.DUMMYFUNCTION("googlefinance(""NSE:""&amp;A51,""price"")"),1956.5)</f>
        <v>1956.5</v>
      </c>
      <c r="C51" s="5">
        <f>IFERROR(__xludf.DUMMYFUNCTION("googlefinance(""NSE:""&amp;A51,""priceopen"")"),1949.75)</f>
        <v>1949.75</v>
      </c>
      <c r="D51" s="6">
        <f>IFERROR(__xludf.DUMMYFUNCTION("googlefinance(""NSE:""&amp;A51,""high"")"),1967.0)</f>
        <v>1967</v>
      </c>
      <c r="E51" s="7">
        <f>IFERROR(__xludf.DUMMYFUNCTION("googlefinance(""NSE:""&amp;A51,""price"")"),1956.5)</f>
        <v>1956.5</v>
      </c>
      <c r="F51" s="7">
        <f>IFERROR(__xludf.DUMMYFUNCTION("googlefinance(""NSE:""&amp;A51,""marketcap"")"),2.7492561915E12)</f>
        <v>2749256191500</v>
      </c>
      <c r="G51" s="7">
        <f>IFERROR(__xludf.DUMMYFUNCTION("googlefinance(""NSE:""&amp;A51,""eps"")"),65.4)</f>
        <v>65.4</v>
      </c>
      <c r="H51" s="7">
        <f>IFERROR(__xludf.DUMMYFUNCTION("googlefinance(""NSE:""&amp;A51,""volume"")"),382486.0)</f>
        <v>382486</v>
      </c>
      <c r="I51" s="7">
        <f>IFERROR(__xludf.DUMMYFUNCTION("googlefinance(""NSE:""&amp;A51,""low52"")"),1456.35)</f>
        <v>1456.35</v>
      </c>
      <c r="J51" s="7">
        <f>IFERROR(__xludf.DUMMYFUNCTION("googlefinance(""NSE:""&amp;A51,""high52"")"),2078.55)</f>
        <v>2078.55</v>
      </c>
      <c r="K51" s="7">
        <f>IFERROR(__xludf.DUMMYFUNCTION("googlefinance(""NSE:""&amp;A51,""changepct"")"),0.35)</f>
        <v>0.35</v>
      </c>
    </row>
    <row r="52">
      <c r="A52" s="8" t="s">
        <v>61</v>
      </c>
      <c r="B52" s="4">
        <f>IFERROR(__xludf.DUMMYFUNCTION("googlefinance(""NSE:""&amp;A52,""price"")"),2152.4)</f>
        <v>2152.4</v>
      </c>
      <c r="C52" s="5">
        <f>IFERROR(__xludf.DUMMYFUNCTION("googlefinance(""NSE:""&amp;A52,""priceopen"")"),2166.0)</f>
        <v>2166</v>
      </c>
      <c r="D52" s="6">
        <f>IFERROR(__xludf.DUMMYFUNCTION("googlefinance(""NSE:""&amp;A52,""high"")"),2178.85)</f>
        <v>2178.85</v>
      </c>
      <c r="E52" s="7">
        <f>IFERROR(__xludf.DUMMYFUNCTION("googlefinance(""NSE:""&amp;A52,""price"")"),2152.4)</f>
        <v>2152.4</v>
      </c>
      <c r="F52" s="7">
        <f>IFERROR(__xludf.DUMMYFUNCTION("googlefinance(""NSE:""&amp;A52,""marketcap"")"),4.052733998E11)</f>
        <v>405273399800</v>
      </c>
      <c r="G52" s="7">
        <f>IFERROR(__xludf.DUMMYFUNCTION("googlefinance(""NSE:""&amp;A52,""eps"")"),78.63)</f>
        <v>78.63</v>
      </c>
      <c r="H52" s="7">
        <f>IFERROR(__xludf.DUMMYFUNCTION("googlefinance(""NSE:""&amp;A52,""volume"")"),283582.0)</f>
        <v>283582</v>
      </c>
      <c r="I52" s="7">
        <f>IFERROR(__xludf.DUMMYFUNCTION("googlefinance(""NSE:""&amp;A52,""low52"")"),2035.0)</f>
        <v>2035</v>
      </c>
      <c r="J52" s="7">
        <f>IFERROR(__xludf.DUMMYFUNCTION("googlefinance(""NSE:""&amp;A52,""high52"")"),3659.75)</f>
        <v>3659.75</v>
      </c>
      <c r="K52" s="7">
        <f>IFERROR(__xludf.DUMMYFUNCTION("googlefinance(""NSE:""&amp;A52,""changepct"")"),0.35)</f>
        <v>0.35</v>
      </c>
    </row>
    <row r="53">
      <c r="A53" s="4" t="s">
        <v>62</v>
      </c>
      <c r="B53" s="4">
        <f>IFERROR(__xludf.DUMMYFUNCTION("googlefinance(""NSE:""&amp;A53,""price"")"),771.0)</f>
        <v>771</v>
      </c>
      <c r="C53" s="5">
        <f>IFERROR(__xludf.DUMMYFUNCTION("googlefinance(""NSE:""&amp;A53,""priceopen"")"),769.6)</f>
        <v>769.6</v>
      </c>
      <c r="D53" s="6">
        <f>IFERROR(__xludf.DUMMYFUNCTION("googlefinance(""NSE:""&amp;A53,""high"")"),774.9)</f>
        <v>774.9</v>
      </c>
      <c r="E53" s="7">
        <f>IFERROR(__xludf.DUMMYFUNCTION("googlefinance(""NSE:""&amp;A53,""price"")"),771.0)</f>
        <v>771</v>
      </c>
      <c r="F53" s="7">
        <f>IFERROR(__xludf.DUMMYFUNCTION("googlefinance(""NSE:""&amp;A53,""marketcap"")"),5.844221634E10)</f>
        <v>58442216340</v>
      </c>
      <c r="G53" s="7">
        <f>IFERROR(__xludf.DUMMYFUNCTION("googlefinance(""NSE:""&amp;A53,""eps"")"),41.12)</f>
        <v>41.12</v>
      </c>
      <c r="H53" s="7">
        <f>IFERROR(__xludf.DUMMYFUNCTION("googlefinance(""NSE:""&amp;A53,""volume"")"),134072.0)</f>
        <v>134072</v>
      </c>
      <c r="I53" s="7">
        <f>IFERROR(__xludf.DUMMYFUNCTION("googlefinance(""NSE:""&amp;A53,""low52"")"),626.0)</f>
        <v>626</v>
      </c>
      <c r="J53" s="7">
        <f>IFERROR(__xludf.DUMMYFUNCTION("googlefinance(""NSE:""&amp;A53,""high52"")"),1008.4)</f>
        <v>1008.4</v>
      </c>
      <c r="K53" s="7">
        <f>IFERROR(__xludf.DUMMYFUNCTION("googlefinance(""NSE:""&amp;A53,""changepct"")"),0.69)</f>
        <v>0.69</v>
      </c>
    </row>
    <row r="54">
      <c r="A54" s="8" t="s">
        <v>63</v>
      </c>
      <c r="B54" s="4">
        <f>IFERROR(__xludf.DUMMYFUNCTION("googlefinance(""NSE:""&amp;A54,""price"")"),961.3)</f>
        <v>961.3</v>
      </c>
      <c r="C54" s="5">
        <f>IFERROR(__xludf.DUMMYFUNCTION("googlefinance(""NSE:""&amp;A54,""priceopen"")"),955.15)</f>
        <v>955.15</v>
      </c>
      <c r="D54" s="6">
        <f>IFERROR(__xludf.DUMMYFUNCTION("googlefinance(""NSE:""&amp;A54,""high"")"),963.5)</f>
        <v>963.5</v>
      </c>
      <c r="E54" s="7">
        <f>IFERROR(__xludf.DUMMYFUNCTION("googlefinance(""NSE:""&amp;A54,""price"")"),961.3)</f>
        <v>961.3</v>
      </c>
      <c r="F54" s="7">
        <f>IFERROR(__xludf.DUMMYFUNCTION("googlefinance(""NSE:""&amp;A54,""marketcap"")"),2.601487876597E12)</f>
        <v>2601487876597</v>
      </c>
      <c r="G54" s="7" t="str">
        <f>IFERROR(__xludf.DUMMYFUNCTION("googlefinance(""NSE:""&amp;A54,""eps"")"),"#N/A")</f>
        <v>#N/A</v>
      </c>
      <c r="H54" s="7">
        <f>IFERROR(__xludf.DUMMYFUNCTION("googlefinance(""NSE:""&amp;A54,""volume"")"),1357095.0)</f>
        <v>1357095</v>
      </c>
      <c r="I54" s="7">
        <f>IFERROR(__xludf.DUMMYFUNCTION("googlefinance(""NSE:""&amp;A54,""low52"")"),877.35)</f>
        <v>877.35</v>
      </c>
      <c r="J54" s="7">
        <f>IFERROR(__xludf.DUMMYFUNCTION("googlefinance(""NSE:""&amp;A54,""high52"")"),1377.75)</f>
        <v>1377.75</v>
      </c>
      <c r="K54" s="7">
        <f>IFERROR(__xludf.DUMMYFUNCTION("googlefinance(""NSE:""&amp;A54,""changepct"")"),1.35)</f>
        <v>1.35</v>
      </c>
    </row>
    <row r="55">
      <c r="A55" s="8" t="s">
        <v>15</v>
      </c>
      <c r="B55" s="4">
        <f>IFERROR(__xludf.DUMMYFUNCTION("googlefinance(""NSE:""&amp;A55,""price"")"),1157.6)</f>
        <v>1157.6</v>
      </c>
      <c r="C55" s="5">
        <f>IFERROR(__xludf.DUMMYFUNCTION("googlefinance(""NSE:""&amp;A55,""priceopen"")"),1140.0)</f>
        <v>1140</v>
      </c>
      <c r="D55" s="6">
        <f>IFERROR(__xludf.DUMMYFUNCTION("googlefinance(""NSE:""&amp;A55,""high"")"),1165.0)</f>
        <v>1165</v>
      </c>
      <c r="E55" s="7">
        <f>IFERROR(__xludf.DUMMYFUNCTION("googlefinance(""NSE:""&amp;A55,""price"")"),1157.6)</f>
        <v>1157.6</v>
      </c>
      <c r="F55" s="7">
        <f>IFERROR(__xludf.DUMMYFUNCTION("googlefinance(""NSE:""&amp;A55,""marketcap"")"),1.126254830727E12)</f>
        <v>1126254830727</v>
      </c>
      <c r="G55" s="7">
        <f>IFERROR(__xludf.DUMMYFUNCTION("googlefinance(""NSE:""&amp;A55,""eps"")"),60.32)</f>
        <v>60.32</v>
      </c>
      <c r="H55" s="7">
        <f>IFERROR(__xludf.DUMMYFUNCTION("googlefinance(""NSE:""&amp;A55,""volume"")"),3458134.0)</f>
        <v>3458134</v>
      </c>
      <c r="I55" s="7">
        <f>IFERROR(__xludf.DUMMYFUNCTION("googlefinance(""NSE:""&amp;A55,""low52"")"),943.7)</f>
        <v>943.7</v>
      </c>
      <c r="J55" s="7">
        <f>IFERROR(__xludf.DUMMYFUNCTION("googlefinance(""NSE:""&amp;A55,""high52"")"),1838.0)</f>
        <v>1838</v>
      </c>
      <c r="K55" s="7">
        <f>IFERROR(__xludf.DUMMYFUNCTION("googlefinance(""NSE:""&amp;A55,""changepct"")"),2.75)</f>
        <v>2.75</v>
      </c>
    </row>
    <row r="56">
      <c r="A56" s="8" t="s">
        <v>22</v>
      </c>
      <c r="B56" s="4">
        <f>IFERROR(__xludf.DUMMYFUNCTION("googlefinance(""NSE:""&amp;A56,""price"")"),1541.15)</f>
        <v>1541.15</v>
      </c>
      <c r="C56" s="5">
        <f>IFERROR(__xludf.DUMMYFUNCTION("googlefinance(""NSE:""&amp;A56,""priceopen"")"),1525.8)</f>
        <v>1525.8</v>
      </c>
      <c r="D56" s="6">
        <f>IFERROR(__xludf.DUMMYFUNCTION("googlefinance(""NSE:""&amp;A56,""high"")"),1545.9)</f>
        <v>1545.9</v>
      </c>
      <c r="E56" s="7">
        <f>IFERROR(__xludf.DUMMYFUNCTION("googlefinance(""NSE:""&amp;A56,""price"")"),1541.15)</f>
        <v>1541.15</v>
      </c>
      <c r="F56" s="7">
        <f>IFERROR(__xludf.DUMMYFUNCTION("googlefinance(""NSE:""&amp;A56,""marketcap"")"),6.464655667187E12)</f>
        <v>6464655667187</v>
      </c>
      <c r="G56" s="7">
        <f>IFERROR(__xludf.DUMMYFUNCTION("googlefinance(""NSE:""&amp;A56,""eps"")"),52.98)</f>
        <v>52.98</v>
      </c>
      <c r="H56" s="7">
        <f>IFERROR(__xludf.DUMMYFUNCTION("googlefinance(""NSE:""&amp;A56,""volume"")"),3377892.0)</f>
        <v>3377892</v>
      </c>
      <c r="I56" s="7">
        <f>IFERROR(__xludf.DUMMYFUNCTION("googlefinance(""NSE:""&amp;A56,""low52"")"),1367.15)</f>
        <v>1367.15</v>
      </c>
      <c r="J56" s="7">
        <f>IFERROR(__xludf.DUMMYFUNCTION("googlefinance(""NSE:""&amp;A56,""high52"")"),1953.9)</f>
        <v>1953.9</v>
      </c>
      <c r="K56" s="7">
        <f>IFERROR(__xludf.DUMMYFUNCTION("googlefinance(""NSE:""&amp;A56,""changepct"")"),1.95)</f>
        <v>1.95</v>
      </c>
    </row>
    <row r="57">
      <c r="A57" s="4" t="s">
        <v>62</v>
      </c>
      <c r="B57" s="4">
        <f>IFERROR(__xludf.DUMMYFUNCTION("googlefinance(""NSE:""&amp;A57,""price"")"),771.0)</f>
        <v>771</v>
      </c>
      <c r="C57" s="5">
        <f>IFERROR(__xludf.DUMMYFUNCTION("googlefinance(""NSE:""&amp;A57,""priceopen"")"),769.6)</f>
        <v>769.6</v>
      </c>
      <c r="D57" s="6">
        <f>IFERROR(__xludf.DUMMYFUNCTION("googlefinance(""NSE:""&amp;A57,""high"")"),774.9)</f>
        <v>774.9</v>
      </c>
      <c r="E57" s="7">
        <f>IFERROR(__xludf.DUMMYFUNCTION("googlefinance(""NSE:""&amp;A57,""price"")"),771.0)</f>
        <v>771</v>
      </c>
      <c r="F57" s="7">
        <f>IFERROR(__xludf.DUMMYFUNCTION("googlefinance(""NSE:""&amp;A57,""marketcap"")"),5.844221634E10)</f>
        <v>58442216340</v>
      </c>
      <c r="G57" s="7">
        <f>IFERROR(__xludf.DUMMYFUNCTION("googlefinance(""NSE:""&amp;A57,""eps"")"),41.12)</f>
        <v>41.12</v>
      </c>
      <c r="H57" s="7">
        <f>IFERROR(__xludf.DUMMYFUNCTION("googlefinance(""NSE:""&amp;A57,""volume"")"),134072.0)</f>
        <v>134072</v>
      </c>
      <c r="I57" s="7">
        <f>IFERROR(__xludf.DUMMYFUNCTION("googlefinance(""NSE:""&amp;A57,""low52"")"),626.0)</f>
        <v>626</v>
      </c>
      <c r="J57" s="7">
        <f>IFERROR(__xludf.DUMMYFUNCTION("googlefinance(""NSE:""&amp;A57,""high52"")"),1008.4)</f>
        <v>1008.4</v>
      </c>
      <c r="K57" s="7">
        <f>IFERROR(__xludf.DUMMYFUNCTION("googlefinance(""NSE:""&amp;A57,""changepct"")"),0.69)</f>
        <v>0.69</v>
      </c>
    </row>
    <row r="58">
      <c r="A58" s="4" t="s">
        <v>64</v>
      </c>
      <c r="B58" s="4">
        <f>IFERROR(__xludf.DUMMYFUNCTION("googlefinance(""NSE:""&amp;A58,""price"")"),1042.75)</f>
        <v>1042.75</v>
      </c>
      <c r="C58" s="5">
        <f>IFERROR(__xludf.DUMMYFUNCTION("googlefinance(""NSE:""&amp;A58,""priceopen"")"),1050.0)</f>
        <v>1050</v>
      </c>
      <c r="D58" s="6">
        <f>IFERROR(__xludf.DUMMYFUNCTION("googlefinance(""NSE:""&amp;A58,""high"")"),1057.0)</f>
        <v>1057</v>
      </c>
      <c r="E58" s="7">
        <f>IFERROR(__xludf.DUMMYFUNCTION("googlefinance(""NSE:""&amp;A58,""price"")"),1042.75)</f>
        <v>1042.75</v>
      </c>
      <c r="F58" s="7">
        <f>IFERROR(__xludf.DUMMYFUNCTION("googlefinance(""NSE:""&amp;A58,""marketcap"")"),3.06146902053E11)</f>
        <v>306146902053</v>
      </c>
      <c r="G58" s="7">
        <f>IFERROR(__xludf.DUMMYFUNCTION("googlefinance(""NSE:""&amp;A58,""eps"")"),57.46)</f>
        <v>57.46</v>
      </c>
      <c r="H58" s="7">
        <f>IFERROR(__xludf.DUMMYFUNCTION("googlefinance(""NSE:""&amp;A58,""volume"")"),135606.0)</f>
        <v>135606</v>
      </c>
      <c r="I58" s="7">
        <f>IFERROR(__xludf.DUMMYFUNCTION("googlefinance(""NSE:""&amp;A58,""low52"")"),709.35)</f>
        <v>709.35</v>
      </c>
      <c r="J58" s="7">
        <f>IFERROR(__xludf.DUMMYFUNCTION("googlefinance(""NSE:""&amp;A58,""high52"")"),1094.0)</f>
        <v>1094</v>
      </c>
      <c r="K58" s="7">
        <f>IFERROR(__xludf.DUMMYFUNCTION("googlefinance(""NSE:""&amp;A58,""changepct"")"),-0.1)</f>
        <v>-0.1</v>
      </c>
    </row>
    <row r="59">
      <c r="A59" s="4" t="s">
        <v>65</v>
      </c>
      <c r="B59" s="4">
        <f>IFERROR(__xludf.DUMMYFUNCTION("googlefinance(""NSE:""&amp;A59,""price"")"),116.5)</f>
        <v>116.5</v>
      </c>
      <c r="C59" s="5">
        <f>IFERROR(__xludf.DUMMYFUNCTION("googlefinance(""NSE:""&amp;A59,""priceopen"")"),116.8)</f>
        <v>116.8</v>
      </c>
      <c r="D59" s="6">
        <f>IFERROR(__xludf.DUMMYFUNCTION("googlefinance(""NSE:""&amp;A59,""high"")"),117.8)</f>
        <v>117.8</v>
      </c>
      <c r="E59" s="7">
        <f>IFERROR(__xludf.DUMMYFUNCTION("googlefinance(""NSE:""&amp;A59,""price"")"),116.5)</f>
        <v>116.5</v>
      </c>
      <c r="F59" s="7">
        <f>IFERROR(__xludf.DUMMYFUNCTION("googlefinance(""NSE:""&amp;A59,""marketcap"")"),2.8946056E10)</f>
        <v>28946056000</v>
      </c>
      <c r="G59" s="7">
        <f>IFERROR(__xludf.DUMMYFUNCTION("googlefinance(""NSE:""&amp;A59,""eps"")"),1.03)</f>
        <v>1.03</v>
      </c>
      <c r="H59" s="7">
        <f>IFERROR(__xludf.DUMMYFUNCTION("googlefinance(""NSE:""&amp;A59,""volume"")"),261707.0)</f>
        <v>261707</v>
      </c>
      <c r="I59" s="7">
        <f>IFERROR(__xludf.DUMMYFUNCTION("googlefinance(""NSE:""&amp;A59,""low52"")"),82.0)</f>
        <v>82</v>
      </c>
      <c r="J59" s="7">
        <f>IFERROR(__xludf.DUMMYFUNCTION("googlefinance(""NSE:""&amp;A59,""high52"")"),239.6)</f>
        <v>239.6</v>
      </c>
      <c r="K59" s="7">
        <f>IFERROR(__xludf.DUMMYFUNCTION("googlefinance(""NSE:""&amp;A59,""changepct"")"),0.43)</f>
        <v>0.43</v>
      </c>
    </row>
    <row r="60">
      <c r="A60" s="8" t="s">
        <v>45</v>
      </c>
      <c r="B60" s="4">
        <f>IFERROR(__xludf.DUMMYFUNCTION("googlefinance(""NSE:""&amp;A60,""price"")"),1269.2)</f>
        <v>1269.2</v>
      </c>
      <c r="C60" s="5">
        <f>IFERROR(__xludf.DUMMYFUNCTION("googlefinance(""NSE:""&amp;A60,""priceopen"")"),1269.9)</f>
        <v>1269.9</v>
      </c>
      <c r="D60" s="6">
        <f>IFERROR(__xludf.DUMMYFUNCTION("googlefinance(""NSE:""&amp;A60,""high"")"),1279.9)</f>
        <v>1279.9</v>
      </c>
      <c r="E60" s="7">
        <f>IFERROR(__xludf.DUMMYFUNCTION("googlefinance(""NSE:""&amp;A60,""price"")"),1269.2)</f>
        <v>1269.2</v>
      </c>
      <c r="F60" s="7">
        <f>IFERROR(__xludf.DUMMYFUNCTION("googlefinance(""NSE:""&amp;A60,""marketcap"")"),6.4605856658E10)</f>
        <v>64605856658</v>
      </c>
      <c r="G60" s="7">
        <f>IFERROR(__xludf.DUMMYFUNCTION("googlefinance(""NSE:""&amp;A60,""eps"")"),28.51)</f>
        <v>28.51</v>
      </c>
      <c r="H60" s="7">
        <f>IFERROR(__xludf.DUMMYFUNCTION("googlefinance(""NSE:""&amp;A60,""volume"")"),121633.0)</f>
        <v>121633</v>
      </c>
      <c r="K60" s="7">
        <f>IFERROR(__xludf.DUMMYFUNCTION("googlefinance(""NSE:""&amp;A60,""changepct"")"),0.22)</f>
        <v>0.22</v>
      </c>
    </row>
    <row r="61">
      <c r="A61" s="4" t="s">
        <v>66</v>
      </c>
      <c r="B61" s="4">
        <f>IFERROR(__xludf.DUMMYFUNCTION("googlefinance(""NSE:""&amp;A61,""price"")"),2510.0)</f>
        <v>2510</v>
      </c>
      <c r="C61" s="5"/>
      <c r="D61" s="6"/>
    </row>
    <row r="62">
      <c r="C62" s="5"/>
      <c r="D62" s="6"/>
    </row>
    <row r="63">
      <c r="C63" s="5"/>
    </row>
    <row r="64">
      <c r="C64" s="5"/>
    </row>
    <row r="65">
      <c r="C65" s="5"/>
    </row>
    <row r="66">
      <c r="C66" s="5"/>
    </row>
    <row r="67">
      <c r="C67" s="5"/>
    </row>
  </sheetData>
  <autoFilter ref="$A$1:$K$67"/>
  <conditionalFormatting sqref="L2">
    <cfRule type="cellIs" dxfId="0" priority="1" operator="greaterThan">
      <formula>2</formula>
    </cfRule>
  </conditionalFormatting>
  <conditionalFormatting sqref="K2:K60">
    <cfRule type="cellIs" dxfId="0" priority="2" operator="greaterThan">
      <formula>2</formula>
    </cfRule>
  </conditionalFormatting>
  <conditionalFormatting sqref="K2:K60">
    <cfRule type="cellIs" dxfId="1" priority="3" operator="lessThan">
      <formula>-2</formula>
    </cfRule>
  </conditionalFormatting>
  <drawing r:id="rId1"/>
</worksheet>
</file>