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ctronica\Downloads\"/>
    </mc:Choice>
  </mc:AlternateContent>
  <xr:revisionPtr revIDLastSave="0" documentId="13_ncr:1_{6D989DA3-9A04-4589-A564-FA89A2749BF8}" xr6:coauthVersionLast="41" xr6:coauthVersionMax="43" xr10:uidLastSave="{00000000-0000-0000-0000-000000000000}"/>
  <bookViews>
    <workbookView xWindow="-120" yWindow="-120" windowWidth="29040" windowHeight="15840" firstSheet="2" activeTab="16" xr2:uid="{00000000-000D-0000-FFFF-FFFF00000000}"/>
  </bookViews>
  <sheets>
    <sheet name="Introducción" sheetId="13" r:id="rId1"/>
    <sheet name="Ejerc1" sheetId="14" r:id="rId2"/>
    <sheet name="Ejerc2" sheetId="15" r:id="rId3"/>
    <sheet name="Ejerc3" sheetId="16" r:id="rId4"/>
    <sheet name="Ejerc4" sheetId="17" r:id="rId5"/>
    <sheet name="Ejerc5" sheetId="18" r:id="rId6"/>
    <sheet name="Ejerc6" sheetId="19" r:id="rId7"/>
    <sheet name="Ejerc7" sheetId="1" r:id="rId8"/>
    <sheet name="Ejerc8" sheetId="2" r:id="rId9"/>
    <sheet name="Ejerc9" sheetId="4" r:id="rId10"/>
    <sheet name="Ejerc10" sheetId="6" r:id="rId11"/>
    <sheet name="Ejerc11" sheetId="7" r:id="rId12"/>
    <sheet name="Ejerc12" sheetId="9" r:id="rId13"/>
    <sheet name="Ejerc13" sheetId="10" r:id="rId14"/>
    <sheet name="Ejerc14" sheetId="11" r:id="rId15"/>
    <sheet name="Ejerc15" sheetId="12" r:id="rId16"/>
    <sheet name="TuEjercicio" sheetId="20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4" i="20" l="1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7" i="20"/>
  <c r="E7" i="10" l="1"/>
  <c r="E8" i="10"/>
  <c r="E9" i="10"/>
  <c r="E10" i="10"/>
  <c r="E6" i="10"/>
  <c r="D7" i="10"/>
  <c r="D8" i="10"/>
  <c r="D9" i="10"/>
  <c r="D10" i="10"/>
  <c r="D6" i="10"/>
  <c r="E12" i="10"/>
  <c r="D12" i="10"/>
  <c r="C14" i="12"/>
  <c r="D14" i="12"/>
  <c r="B14" i="12"/>
  <c r="C13" i="12"/>
  <c r="D13" i="12"/>
  <c r="E11" i="12"/>
  <c r="E9" i="12"/>
  <c r="E13" i="12"/>
  <c r="B13" i="12"/>
  <c r="C12" i="12"/>
  <c r="D12" i="12"/>
  <c r="E12" i="12"/>
  <c r="B12" i="12"/>
  <c r="C10" i="12"/>
  <c r="D10" i="12"/>
  <c r="E10" i="12"/>
  <c r="B10" i="12"/>
  <c r="B127" i="20"/>
  <c r="J125" i="20"/>
  <c r="J126" i="20" s="1"/>
  <c r="C9" i="11"/>
  <c r="E9" i="11"/>
  <c r="F9" i="11"/>
  <c r="C10" i="11"/>
  <c r="E10" i="11"/>
  <c r="F10" i="11"/>
  <c r="C11" i="11"/>
  <c r="E11" i="11"/>
  <c r="F11" i="11"/>
  <c r="C12" i="11"/>
  <c r="E12" i="11"/>
  <c r="F12" i="11"/>
  <c r="C13" i="11"/>
  <c r="E13" i="11"/>
  <c r="F13" i="11"/>
  <c r="C14" i="11"/>
  <c r="E14" i="11"/>
  <c r="F14" i="11"/>
  <c r="C15" i="11"/>
  <c r="E15" i="11"/>
  <c r="F15" i="11"/>
  <c r="C16" i="11"/>
  <c r="E16" i="11"/>
  <c r="F16" i="11"/>
  <c r="C17" i="11"/>
  <c r="E17" i="11"/>
  <c r="F17" i="11"/>
  <c r="C18" i="11"/>
  <c r="E18" i="11"/>
  <c r="F18" i="11"/>
  <c r="C19" i="11"/>
  <c r="E19" i="11"/>
  <c r="F19" i="11"/>
  <c r="C20" i="11"/>
  <c r="E20" i="11"/>
  <c r="F20" i="11"/>
  <c r="C8" i="11"/>
  <c r="E8" i="11"/>
  <c r="F8" i="11"/>
  <c r="G7" i="9"/>
  <c r="G8" i="9"/>
  <c r="G9" i="9"/>
  <c r="G6" i="9"/>
  <c r="C11" i="9"/>
  <c r="D11" i="9"/>
  <c r="E11" i="9"/>
  <c r="B11" i="9"/>
  <c r="C10" i="9"/>
  <c r="D10" i="9"/>
  <c r="E10" i="9"/>
  <c r="B10" i="9"/>
  <c r="F7" i="9"/>
  <c r="F8" i="9"/>
  <c r="F9" i="9"/>
  <c r="F6" i="9"/>
  <c r="G4" i="4"/>
  <c r="G5" i="4"/>
  <c r="G6" i="4"/>
  <c r="G7" i="4"/>
  <c r="G8" i="4"/>
  <c r="G9" i="4"/>
  <c r="G10" i="4"/>
  <c r="F4" i="4"/>
  <c r="F5" i="4"/>
  <c r="F6" i="4"/>
  <c r="F7" i="4"/>
  <c r="F8" i="4"/>
  <c r="F9" i="4"/>
  <c r="F10" i="4"/>
  <c r="F3" i="4"/>
  <c r="E3" i="7"/>
  <c r="E4" i="7"/>
  <c r="E5" i="7"/>
  <c r="E6" i="7"/>
  <c r="E7" i="7"/>
  <c r="E8" i="7"/>
  <c r="E9" i="7"/>
  <c r="E10" i="7"/>
  <c r="E11" i="7"/>
  <c r="E2" i="7"/>
  <c r="E6" i="6"/>
  <c r="E7" i="6"/>
  <c r="E8" i="6"/>
  <c r="E9" i="6"/>
  <c r="E10" i="6"/>
  <c r="E11" i="6"/>
  <c r="E12" i="6"/>
  <c r="E13" i="6"/>
  <c r="E5" i="6"/>
  <c r="G5" i="6"/>
  <c r="H5" i="6"/>
  <c r="F5" i="6"/>
  <c r="J14" i="6"/>
  <c r="F4" i="2"/>
  <c r="D5" i="2"/>
  <c r="D6" i="2"/>
  <c r="D7" i="2"/>
  <c r="D8" i="2"/>
  <c r="D4" i="2"/>
  <c r="F5" i="2"/>
  <c r="C9" i="2"/>
  <c r="B9" i="2"/>
  <c r="F8" i="1"/>
  <c r="G8" i="1"/>
  <c r="F6" i="1"/>
  <c r="G6" i="1"/>
  <c r="F7" i="1"/>
  <c r="G7" i="1"/>
  <c r="F5" i="1"/>
  <c r="G5" i="1"/>
  <c r="C10" i="1"/>
  <c r="D9" i="1"/>
  <c r="E9" i="1"/>
  <c r="C9" i="1"/>
  <c r="B7" i="19"/>
  <c r="B8" i="19"/>
  <c r="B2" i="17"/>
  <c r="B3" i="18"/>
  <c r="B2" i="18"/>
  <c r="D31" i="18"/>
  <c r="C14" i="17"/>
  <c r="B3" i="17"/>
  <c r="D14" i="17"/>
  <c r="E14" i="17"/>
  <c r="F14" i="17"/>
  <c r="B14" i="17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D9" i="16"/>
  <c r="E9" i="16"/>
  <c r="F9" i="16"/>
  <c r="G9" i="16"/>
  <c r="H9" i="16"/>
  <c r="I9" i="16"/>
  <c r="J9" i="16"/>
  <c r="K9" i="16"/>
  <c r="D10" i="16"/>
  <c r="E10" i="16"/>
  <c r="F10" i="16"/>
  <c r="G10" i="16"/>
  <c r="H10" i="16"/>
  <c r="I10" i="16"/>
  <c r="J10" i="16"/>
  <c r="K10" i="16"/>
  <c r="K11" i="16"/>
  <c r="J11" i="16"/>
  <c r="I11" i="16"/>
  <c r="H11" i="16"/>
  <c r="G11" i="16"/>
  <c r="F11" i="16"/>
  <c r="E11" i="16"/>
  <c r="D11" i="16"/>
  <c r="H5" i="15"/>
  <c r="E5" i="15"/>
  <c r="E6" i="15"/>
  <c r="E7" i="15"/>
  <c r="E8" i="15"/>
  <c r="H9" i="15"/>
  <c r="E9" i="15"/>
  <c r="B18" i="15"/>
  <c r="B17" i="15"/>
  <c r="B16" i="15"/>
  <c r="B15" i="15"/>
  <c r="B14" i="15"/>
  <c r="G6" i="15"/>
  <c r="G7" i="15"/>
  <c r="G8" i="15"/>
  <c r="G9" i="15"/>
  <c r="G5" i="15"/>
  <c r="B8" i="15"/>
  <c r="C7" i="15"/>
  <c r="D6" i="15"/>
  <c r="C14" i="14"/>
  <c r="D14" i="14"/>
  <c r="B14" i="14"/>
  <c r="C13" i="14"/>
  <c r="D13" i="14"/>
  <c r="B13" i="14"/>
  <c r="C12" i="14"/>
  <c r="D12" i="14"/>
  <c r="B12" i="14"/>
  <c r="D11" i="14"/>
  <c r="C11" i="14"/>
  <c r="B11" i="14"/>
  <c r="E8" i="14"/>
  <c r="G8" i="14"/>
  <c r="E9" i="14"/>
  <c r="G9" i="14"/>
  <c r="E10" i="14"/>
  <c r="G10" i="14"/>
  <c r="E7" i="14"/>
  <c r="G7" i="14"/>
  <c r="F8" i="14"/>
  <c r="F9" i="14"/>
  <c r="F10" i="14"/>
  <c r="F7" i="14"/>
  <c r="H13" i="6"/>
  <c r="G3" i="4"/>
  <c r="J127" i="20" l="1"/>
</calcChain>
</file>

<file path=xl/sharedStrings.xml><?xml version="1.0" encoding="utf-8"?>
<sst xmlns="http://schemas.openxmlformats.org/spreadsheetml/2006/main" count="705" uniqueCount="663">
  <si>
    <t>Instrucciones Generales:</t>
  </si>
  <si>
    <t>Responde todos los ejercicios que se muestran en el presente Libro de Trabajo; en la última hoja de cálculo inserta tu propio ejercicio sobre una aplicación contable.</t>
  </si>
  <si>
    <t>Aplica formato al gusto de manera homogenea en todos los ejercicios (fuente, colores, bordes, gráfico, otros);</t>
  </si>
  <si>
    <t>para terminar publica el archivo en la Subcompetencia2:Hoja de cálculo - Carpeta FACILITADOR</t>
  </si>
  <si>
    <t>Nota: Inserta Encabezado con tu NOMBRE COMPLETO</t>
  </si>
  <si>
    <t>Para iniciar responde las siguientes preguntas:</t>
  </si>
  <si>
    <r>
      <t>1.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¿Qué es una celda?</t>
    </r>
  </si>
  <si>
    <t>Interseccion de fila y columna. Poseen formato.</t>
  </si>
  <si>
    <r>
      <t>2.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¿Que es una hoja de cálculo de Excel?</t>
    </r>
  </si>
  <si>
    <t>Es un documento que permite manejar datos numericos y alfanúmericos contenidos en celdas.</t>
  </si>
  <si>
    <r>
      <t>3.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Cita 2 ejemplos del uso de una hoja de cálculo.</t>
    </r>
  </si>
  <si>
    <t>Tabla de calificaciones y contabilidad</t>
  </si>
  <si>
    <r>
      <t>4.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¿Qué son las referencias relativas?</t>
    </r>
  </si>
  <si>
    <t>Son relaciones que permiten a formulas hacer operaciones según la posicion de las celdas. Estas cambian y pueden ser desplkazadas a otras celdas conservando funcionalidad.</t>
  </si>
  <si>
    <r>
      <t>5.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¿Qué son las referencias absolutas?</t>
    </r>
  </si>
  <si>
    <t>Es una que permite a una celda hacer una operación. Esta no se puede desplazar como las relativas.</t>
  </si>
  <si>
    <r>
      <t>6.</t>
    </r>
    <r>
      <rPr>
        <sz val="7"/>
        <rFont val="Times New Roman"/>
        <family val="1"/>
      </rPr>
      <t xml:space="preserve">            </t>
    </r>
    <r>
      <rPr>
        <sz val="10"/>
        <rFont val="Verdana"/>
        <family val="2"/>
      </rPr>
      <t>¿Qué tipo de funciones podemos encontrar en Excel?, nombra por lo menos 4</t>
    </r>
  </si>
  <si>
    <t>Contar, Sí, Suma y Promedio</t>
  </si>
  <si>
    <t>Gasto de Servicios Básicos, Primer Trimestre</t>
  </si>
  <si>
    <t>Gastos</t>
  </si>
  <si>
    <t>Enero</t>
  </si>
  <si>
    <t>Febrero</t>
  </si>
  <si>
    <t>Marzo</t>
  </si>
  <si>
    <t>Total por Trimestre</t>
  </si>
  <si>
    <t>Promedio</t>
  </si>
  <si>
    <t>Presupuesto</t>
  </si>
  <si>
    <t>Luz</t>
  </si>
  <si>
    <t>Agua</t>
  </si>
  <si>
    <t>Teléfono</t>
  </si>
  <si>
    <t>Renta</t>
  </si>
  <si>
    <t>Total por Mes:</t>
  </si>
  <si>
    <t>Gasto Mayor:</t>
  </si>
  <si>
    <t>Gasto Menor:</t>
  </si>
  <si>
    <t>Cuantos gastos superan los $300.00 por mes</t>
  </si>
  <si>
    <t>Instrucciones:</t>
  </si>
  <si>
    <t>Aplica Bordes y formato al gusto (Tipo de letra, color, etc)</t>
  </si>
  <si>
    <t>Inserta las Fórmulas o Funciones que correspondan para generar: Total por Trimestre, Promedio, Total por Mes, Gasto Mayor y Gasto Menor</t>
  </si>
  <si>
    <t xml:space="preserve">Inserta la función SI en la columna presupuesto, para saber si el total por trimestre por cada gasto es mayor o menor del presupuesto asignado de $2000. En caso de ser mayor despliega “mayor”, y en caso de ser menor o igual despliega “menor”. </t>
  </si>
  <si>
    <t xml:space="preserve">Inserta la función contar.si en la fila “cuantos gastos superan los $300.00 por mes”. </t>
  </si>
  <si>
    <t>Elabora un gráfico Circular de los Gastos con su Total por Trimestre; aplica formato al gusto (inserta el gráfico en esta misma hoja)</t>
  </si>
  <si>
    <t>UNIVERSIDAD PATITO</t>
  </si>
  <si>
    <t>ENCUENTRA LOS VALORES DE LAS CELDAS EN VERDE CON FORMULAS Y/O FUNCIONES</t>
  </si>
  <si>
    <t>MODELO</t>
  </si>
  <si>
    <t>ENERO</t>
  </si>
  <si>
    <t>FEBRERO</t>
  </si>
  <si>
    <t>MARZO</t>
  </si>
  <si>
    <t>TIPO DE GRUPO</t>
  </si>
  <si>
    <t>PATRONATO</t>
  </si>
  <si>
    <t>PAGO 
TRIMESTRAL</t>
  </si>
  <si>
    <t>GRUPO 1</t>
  </si>
  <si>
    <t>GRUPO 2</t>
  </si>
  <si>
    <t>GRUPO 3</t>
  </si>
  <si>
    <t>GRUPO 4</t>
  </si>
  <si>
    <t>GRUPO 5</t>
  </si>
  <si>
    <t>PAGO BASE</t>
  </si>
  <si>
    <t>PAGO PROMEDIO</t>
  </si>
  <si>
    <t>PAGO MAXIMA</t>
  </si>
  <si>
    <t>PAGO MINIMA</t>
  </si>
  <si>
    <t>TOTAL DE CUMPLIDOS</t>
  </si>
  <si>
    <t>TOTAL DE INCUMPLIDOS</t>
  </si>
  <si>
    <t>INSTRUCCIONES:</t>
  </si>
  <si>
    <t>CALCULA EL PATRONATO, EL CUAL ES EL 2 PORCIENTO DEL PAGO TRIMESTRAL</t>
  </si>
  <si>
    <t>GRAFICA EN PASTEL EL TOTAL DE CUMPLIDOS E INCUMPLIDOS (inserta el gráfico en esta misma hoja)</t>
  </si>
  <si>
    <t>GRAFICA EN COLUMNAS EL PAGO TOTAL (inserta el gráfico en esta misma hoja)</t>
  </si>
  <si>
    <t>DALE FORMATO DE MILES A LAS CELDAS SIN DECIMALES</t>
  </si>
  <si>
    <t>INSERTA COMO TITULO "UNIVERSIDAD PATITO" Y CENTRALO</t>
  </si>
  <si>
    <r>
      <t xml:space="preserve">ENCUENTRA </t>
    </r>
    <r>
      <rPr>
        <b/>
        <sz val="10"/>
        <rFont val="Arial"/>
        <family val="2"/>
      </rPr>
      <t>TIPO DE GRUPO: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SI</t>
    </r>
    <r>
      <rPr>
        <sz val="10"/>
        <rFont val="Arial"/>
        <family val="2"/>
      </rPr>
      <t xml:space="preserve"> PAGO TRIMESTRAL ES MAYOR A</t>
    </r>
    <r>
      <rPr>
        <b/>
        <sz val="10"/>
        <color indexed="53"/>
        <rFont val="Arial"/>
        <family val="2"/>
      </rPr>
      <t xml:space="preserve"> PAGO BASE</t>
    </r>
    <r>
      <rPr>
        <sz val="10"/>
        <rFont val="Arial"/>
        <family val="2"/>
      </rPr>
      <t xml:space="preserve"> ES TIPO </t>
    </r>
    <r>
      <rPr>
        <b/>
        <sz val="10"/>
        <rFont val="Arial"/>
        <family val="2"/>
      </rPr>
      <t>"CUMPLIDO"</t>
    </r>
    <r>
      <rPr>
        <sz val="10"/>
        <rFont val="Arial"/>
        <family val="2"/>
      </rPr>
      <t xml:space="preserve"> DE LO CONTRARIO  </t>
    </r>
    <r>
      <rPr>
        <b/>
        <sz val="10"/>
        <rFont val="Arial"/>
        <family val="2"/>
      </rPr>
      <t>"INCUMPLIDO"</t>
    </r>
  </si>
  <si>
    <t>Nómina de Empleados "La Favorita"</t>
  </si>
  <si>
    <t>Prestaciones</t>
  </si>
  <si>
    <t>Deducciones</t>
  </si>
  <si>
    <t>Nombre</t>
  </si>
  <si>
    <t>Salario
Diario</t>
  </si>
  <si>
    <t>Días 
Trabajados</t>
  </si>
  <si>
    <t>Ingreso
Total</t>
  </si>
  <si>
    <t>Ahorro</t>
  </si>
  <si>
    <t>Bono
Despensa</t>
  </si>
  <si>
    <t>Total 
Prestaciones</t>
  </si>
  <si>
    <t>IMSS</t>
  </si>
  <si>
    <t>ISR</t>
  </si>
  <si>
    <t>Total 
Deducciones</t>
  </si>
  <si>
    <t>Salario
Neto</t>
  </si>
  <si>
    <t>CARLOS</t>
  </si>
  <si>
    <t>JUVENTINO</t>
  </si>
  <si>
    <t>OSWALDO</t>
  </si>
  <si>
    <t>ANDREA</t>
  </si>
  <si>
    <t>FABIOLA</t>
  </si>
  <si>
    <t>ERANDENI</t>
  </si>
  <si>
    <t>GUADALUPE</t>
  </si>
  <si>
    <t>Totales</t>
  </si>
  <si>
    <t>Criterios para generar Prestaciones:</t>
  </si>
  <si>
    <t>Criterios para generar Deducciones:</t>
  </si>
  <si>
    <r>
      <t>&gt;</t>
    </r>
    <r>
      <rPr>
        <sz val="10"/>
        <rFont val="Arial"/>
        <family val="2"/>
      </rPr>
      <t>10000</t>
    </r>
  </si>
  <si>
    <r>
      <t>&lt;=</t>
    </r>
    <r>
      <rPr>
        <sz val="10"/>
        <rFont val="Arial"/>
        <family val="2"/>
      </rPr>
      <t>10000</t>
    </r>
  </si>
  <si>
    <t>Bono 
Despensa</t>
  </si>
  <si>
    <r>
      <t>&gt;</t>
    </r>
    <r>
      <rPr>
        <sz val="10"/>
        <rFont val="Arial"/>
        <family val="2"/>
      </rPr>
      <t>15000</t>
    </r>
  </si>
  <si>
    <r>
      <t>&lt;=</t>
    </r>
    <r>
      <rPr>
        <sz val="10"/>
        <rFont val="Arial"/>
        <family val="2"/>
      </rPr>
      <t>15000</t>
    </r>
  </si>
  <si>
    <r>
      <t xml:space="preserve">Instrucciones: </t>
    </r>
    <r>
      <rPr>
        <sz val="10"/>
        <rFont val="Arial"/>
        <family val="2"/>
      </rPr>
      <t xml:space="preserve">
Completa el formato de nómina escribiendo los nombres de siete trabajadores e inserta las fórmulas o funciones en las columnas que se requieran para generar el Salario Neto de cada trabajador; es importante te bases en los criterios para generar Prestaciones y Deduciones. Elabora un gráfico circular o barras en una hoja nueva de los Nombres y Salario Neto.</t>
    </r>
  </si>
  <si>
    <t>Notas:</t>
  </si>
  <si>
    <r>
      <t xml:space="preserve">* Ejemplo para generar: AHORRO = </t>
    </r>
    <r>
      <rPr>
        <b/>
        <sz val="10"/>
        <rFont val="Arial"/>
        <family val="2"/>
      </rPr>
      <t>SI</t>
    </r>
    <r>
      <rPr>
        <sz val="10"/>
        <rFont val="Arial"/>
        <family val="2"/>
      </rPr>
      <t xml:space="preserve"> IngresoTotal&gt;10000 entonces ahorra un 2% del IngresoTotal de lo contrario ahorra un 4%</t>
    </r>
  </si>
  <si>
    <t>* Ojo. Para copiar la fórmula recuerda aplicar referencia absoluta a la celda con % correspondiente</t>
  </si>
  <si>
    <t>VENTAS</t>
  </si>
  <si>
    <t>MEDIANTE LA FORMULA DE BUSCARH ENCUENTRA LAS CANTIDADES</t>
  </si>
  <si>
    <t>UTILIDAD</t>
  </si>
  <si>
    <t>DE VENTAS Y UTILIDAD DEL MES DE FEBRERO</t>
  </si>
  <si>
    <t>ESTADO</t>
  </si>
  <si>
    <t>ABRIL</t>
  </si>
  <si>
    <t>MAYO</t>
  </si>
  <si>
    <t>COSTO DE VENTAS</t>
  </si>
  <si>
    <t>VENTAS NETAS</t>
  </si>
  <si>
    <t>MINATITLAN</t>
  </si>
  <si>
    <t>RESTAURANTES</t>
  </si>
  <si>
    <t>HABITANTES</t>
  </si>
  <si>
    <t>MEDIANTE LA FORMULA BUSCARH ENCUENTRA LA CANTIDAD</t>
  </si>
  <si>
    <t>DE RESTAURANTES Y HABITANTES DE MINATITLAN</t>
  </si>
  <si>
    <t>CANTIDADES</t>
  </si>
  <si>
    <t>COATZACOALCOS</t>
  </si>
  <si>
    <t>ORIZABA</t>
  </si>
  <si>
    <t>VERACRUZ</t>
  </si>
  <si>
    <t>CORDOVA</t>
  </si>
  <si>
    <t>ACAYUCAN</t>
  </si>
  <si>
    <t>HOTELES</t>
  </si>
  <si>
    <t>ALBERCAS</t>
  </si>
  <si>
    <t>PARQUES</t>
  </si>
  <si>
    <t>MUSEOS</t>
  </si>
  <si>
    <t>ER</t>
  </si>
  <si>
    <t xml:space="preserve">En una compañía se quiere determinar la cantidad de ISR que pagarán los empleados. </t>
  </si>
  <si>
    <t>Basándote en el diseño siguiente, escribe las formulas para calcular el impuesto y el suelto neto:</t>
  </si>
  <si>
    <t>Salario mensual</t>
  </si>
  <si>
    <t>Impuesto</t>
  </si>
  <si>
    <t>Sueldo neto</t>
  </si>
  <si>
    <t>El cálculo del salario se hará con base en lo siguiente:</t>
  </si>
  <si>
    <t>Si el salario es mayor o igual a $10,000 se aplica un ISR de 10%</t>
  </si>
  <si>
    <t>Si el salario es menor a $10,000 se aplica un ISR de  4%</t>
  </si>
  <si>
    <t>Banco Coatza</t>
  </si>
  <si>
    <t>Cantidad de depósitos</t>
  </si>
  <si>
    <t>Depósitos en Caja de Ahorro</t>
  </si>
  <si>
    <t>Sucursal</t>
  </si>
  <si>
    <t>1er cuatrim.</t>
  </si>
  <si>
    <t>2do cuatrim.</t>
  </si>
  <si>
    <t>3er cuatrim.</t>
  </si>
  <si>
    <t>Promedio.</t>
  </si>
  <si>
    <t>Categoría</t>
  </si>
  <si>
    <t>Hidalgo</t>
  </si>
  <si>
    <t>Juarez</t>
  </si>
  <si>
    <t>Universidad</t>
  </si>
  <si>
    <t>Revolución</t>
  </si>
  <si>
    <t>Totales:</t>
  </si>
  <si>
    <t>Depositos Superiores a $500000:</t>
  </si>
  <si>
    <t xml:space="preserve">1) Hallar el total de dinero depositado en caja de ahorro en las cuatro sucursales del banco Coatza, </t>
  </si>
  <si>
    <t>del 3er cuatrimestre.</t>
  </si>
  <si>
    <t>2) Informar en cuantas ocasiones se superaron depósitos de 500000 pesos tomando en cuanta a las cuatro</t>
  </si>
  <si>
    <t>sucursales durante todo el año.</t>
  </si>
  <si>
    <t>3) agregar una columna en donde se muestren los promedios anuales de cada sucursal.</t>
  </si>
  <si>
    <t>4) Agregar una columna en donde se informe lo siguiente:</t>
  </si>
  <si>
    <t>"Categaría A" si el promedio superó los 500000 pesos</t>
  </si>
  <si>
    <t>"Categoría B" si el promedio superó los 400000 pero no llegó a los 500000</t>
  </si>
  <si>
    <t>"Categoría C" si el promedio resultó ser menor o igual a 400000</t>
  </si>
  <si>
    <t>Presupuestos por área (en millones de pesos)</t>
  </si>
  <si>
    <t>Área</t>
  </si>
  <si>
    <t>Presupuesto 97</t>
  </si>
  <si>
    <t>Presupuesto 98</t>
  </si>
  <si>
    <t>DIFERENCIA</t>
  </si>
  <si>
    <t>Economía</t>
  </si>
  <si>
    <t>Maximo</t>
  </si>
  <si>
    <t>Acción Social</t>
  </si>
  <si>
    <t>Minimo</t>
  </si>
  <si>
    <t>Recursos Naturales</t>
  </si>
  <si>
    <t>Educación y Cultura</t>
  </si>
  <si>
    <t>Justicia</t>
  </si>
  <si>
    <t>1) Hallar el promedio del presupuesto 97</t>
  </si>
  <si>
    <t>2) Hallar el máximo y el mínimo valor del presupuesto 98</t>
  </si>
  <si>
    <t>Usando función SI</t>
  </si>
  <si>
    <t>3) Agregar una columna en donde aparezca la diferencia entre el valor máximo hallado en el punto anterior</t>
  </si>
  <si>
    <t xml:space="preserve">    y el de cada área (Ej.: Máximo 98 - Economía 98), salvo para el caso del máximo en el que deberá aparecer </t>
  </si>
  <si>
    <t xml:space="preserve">    la frase "Máxima asignación".</t>
  </si>
  <si>
    <t>Nº de socio</t>
  </si>
  <si>
    <t>Edad</t>
  </si>
  <si>
    <t>Deuda/Cuotas</t>
  </si>
  <si>
    <t>Antigüedad</t>
  </si>
  <si>
    <t>Viejos con multa (Si)</t>
  </si>
  <si>
    <t>Viejos con multa (Y)</t>
  </si>
  <si>
    <t>Luisa</t>
  </si>
  <si>
    <t xml:space="preserve">Luis </t>
  </si>
  <si>
    <t xml:space="preserve">Martín </t>
  </si>
  <si>
    <t xml:space="preserve">Jose </t>
  </si>
  <si>
    <t>Carmen</t>
  </si>
  <si>
    <t>Paty</t>
  </si>
  <si>
    <t>María</t>
  </si>
  <si>
    <t xml:space="preserve">Rolando </t>
  </si>
  <si>
    <t>1. Agregar una columna a la tabla de socios de modo que:</t>
  </si>
  <si>
    <t>Si la cantidad de cuotas adeudas es mayor a 2 y el socio tiene mas de 20 años mostrar el nº de socio</t>
  </si>
  <si>
    <t>si no nada.</t>
  </si>
  <si>
    <t>En un depósito se encuentran almacenados distintos productos. En la tabla que</t>
  </si>
  <si>
    <t>se encuentra debajo se detallan los códigos de identificación y otras características mas.</t>
  </si>
  <si>
    <t>Código</t>
  </si>
  <si>
    <t>Cantidad</t>
  </si>
  <si>
    <t>Precio Unit.</t>
  </si>
  <si>
    <t>Inflamable (Categ.)</t>
  </si>
  <si>
    <t>Nota:</t>
  </si>
  <si>
    <t>Precio Unit. Prom</t>
  </si>
  <si>
    <t>N° de Prod. c/ $&gt; Prom</t>
  </si>
  <si>
    <t>Cant. Prod. A</t>
  </si>
  <si>
    <t>a1</t>
  </si>
  <si>
    <t>A</t>
  </si>
  <si>
    <t>a2</t>
  </si>
  <si>
    <t>B</t>
  </si>
  <si>
    <t>a3</t>
  </si>
  <si>
    <t>b1</t>
  </si>
  <si>
    <t>C</t>
  </si>
  <si>
    <t>b2</t>
  </si>
  <si>
    <t>b3</t>
  </si>
  <si>
    <t>c1</t>
  </si>
  <si>
    <t>c2</t>
  </si>
  <si>
    <t>c3</t>
  </si>
  <si>
    <t>Total de Prod.</t>
  </si>
  <si>
    <t>1. Determinar cuántos tipos de productos tienen un precio unitario</t>
  </si>
  <si>
    <t xml:space="preserve"> mayor al promedio gral.</t>
  </si>
  <si>
    <t>2. Hallar la suma de la cantidad de productos que pertenecen a la categoría A (inflamables)</t>
  </si>
  <si>
    <t xml:space="preserve">3. Agregar una columna en donde figuren los textos: </t>
  </si>
  <si>
    <t>"Máxima precaución" para categ. A</t>
  </si>
  <si>
    <t>"Precaución moderada" para categ. B</t>
  </si>
  <si>
    <t>"Precaución de rutina" para categ. C</t>
  </si>
  <si>
    <t xml:space="preserve">País </t>
  </si>
  <si>
    <t>Deuda externa</t>
  </si>
  <si>
    <t>PBI/Hab.</t>
  </si>
  <si>
    <t>%Alfabet.</t>
  </si>
  <si>
    <t>Códigos</t>
  </si>
  <si>
    <t>México</t>
  </si>
  <si>
    <t>Brasil</t>
  </si>
  <si>
    <t>Chile</t>
  </si>
  <si>
    <t>Uruguay</t>
  </si>
  <si>
    <t>Bolivia</t>
  </si>
  <si>
    <t>Paraguay</t>
  </si>
  <si>
    <t>Perú</t>
  </si>
  <si>
    <t>Ecuador</t>
  </si>
  <si>
    <t>Venezuela</t>
  </si>
  <si>
    <t>Colombia</t>
  </si>
  <si>
    <t>Agregar una columna en donde se especifiquen los siguientes códigos:</t>
  </si>
  <si>
    <r>
      <t>A</t>
    </r>
    <r>
      <rPr>
        <sz val="10"/>
        <rFont val="Arial"/>
        <family val="2"/>
      </rPr>
      <t xml:space="preserve"> para aquellos países que tengan una deuda externa menor a 40000 y cumplan con al menos</t>
    </r>
  </si>
  <si>
    <t>una de las siguientes condiciones: PBI/Hab &gt; 4000 ó %Alfabet. &gt; 90</t>
  </si>
  <si>
    <r>
      <t>B</t>
    </r>
    <r>
      <rPr>
        <sz val="10"/>
        <rFont val="Arial"/>
        <family val="2"/>
      </rPr>
      <t xml:space="preserve"> Para los países con una deuda externa &gt;= 40000 y un PBI/Hab &gt; 4500</t>
    </r>
  </si>
  <si>
    <r>
      <t>C</t>
    </r>
    <r>
      <rPr>
        <sz val="10"/>
        <rFont val="Arial"/>
        <family val="2"/>
      </rPr>
      <t xml:space="preserve"> para el resto de los casos.</t>
    </r>
  </si>
  <si>
    <r>
      <t xml:space="preserve"> </t>
    </r>
    <r>
      <rPr>
        <sz val="9.6999999999999993"/>
        <color indexed="8"/>
        <rFont val="Arial"/>
        <family val="2"/>
      </rPr>
      <t xml:space="preserve">Recibimos de las distintas sucursales de la empresa los datos correspondientes a las ventas 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</si>
  <si>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 de cada vendedor en los distintos trimestres del año.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</si>
  <si>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Ventas del año 2009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</si>
  <si>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theme="0"/>
        <rFont val="Arial"/>
        <family val="2"/>
      </rPr>
      <t xml:space="preserve">Vendedor </t>
    </r>
    <r>
      <rPr>
        <sz val="10"/>
        <color theme="0"/>
        <rFont val="Arial"/>
        <family val="2"/>
      </rPr>
      <t xml:space="preserve"> </t>
    </r>
  </si>
  <si>
    <r>
      <t xml:space="preserve"> </t>
    </r>
    <r>
      <rPr>
        <sz val="9.6999999999999993"/>
        <color theme="0"/>
        <rFont val="Arial"/>
        <family val="2"/>
      </rPr>
      <t xml:space="preserve">Trimestre 1 </t>
    </r>
    <r>
      <rPr>
        <sz val="10"/>
        <color theme="0"/>
        <rFont val="Arial"/>
        <family val="2"/>
      </rPr>
      <t xml:space="preserve"> </t>
    </r>
  </si>
  <si>
    <r>
      <t xml:space="preserve"> </t>
    </r>
    <r>
      <rPr>
        <sz val="9.6999999999999993"/>
        <color theme="0"/>
        <rFont val="Arial"/>
        <family val="2"/>
      </rPr>
      <t xml:space="preserve">Trimestre 2 </t>
    </r>
    <r>
      <rPr>
        <sz val="10"/>
        <color theme="0"/>
        <rFont val="Arial"/>
        <family val="2"/>
      </rPr>
      <t xml:space="preserve"> </t>
    </r>
  </si>
  <si>
    <r>
      <t xml:space="preserve"> </t>
    </r>
    <r>
      <rPr>
        <sz val="9.6999999999999993"/>
        <color theme="0"/>
        <rFont val="Arial"/>
        <family val="2"/>
      </rPr>
      <t xml:space="preserve">Trimestre 3 </t>
    </r>
    <r>
      <rPr>
        <sz val="10"/>
        <color theme="0"/>
        <rFont val="Arial"/>
        <family val="2"/>
      </rPr>
      <t xml:space="preserve"> </t>
    </r>
  </si>
  <si>
    <r>
      <t xml:space="preserve"> </t>
    </r>
    <r>
      <rPr>
        <sz val="9.6999999999999993"/>
        <color theme="0"/>
        <rFont val="Arial"/>
        <family val="2"/>
      </rPr>
      <t xml:space="preserve">Trimestre 4 </t>
    </r>
    <r>
      <rPr>
        <sz val="10"/>
        <color theme="0"/>
        <rFont val="Arial"/>
        <family val="2"/>
      </rPr>
      <t xml:space="preserve"> </t>
    </r>
  </si>
  <si>
    <t>Total</t>
  </si>
  <si>
    <t>Media</t>
  </si>
  <si>
    <t>Magdalena</t>
  </si>
  <si>
    <r>
      <t xml:space="preserve"> </t>
    </r>
    <r>
      <rPr>
        <sz val="9.6999999999999993"/>
        <color indexed="8"/>
        <rFont val="Arial"/>
        <family val="2"/>
      </rPr>
      <t xml:space="preserve">Raúl 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</si>
  <si>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Elena 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</si>
  <si>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Javier  </t>
    </r>
    <r>
      <rPr>
        <sz val="10"/>
        <rFont val="Arial"/>
        <family val="2"/>
      </rPr>
      <t xml:space="preserve"> </t>
    </r>
  </si>
  <si>
    <t>Total Trimestre</t>
  </si>
  <si>
    <t>Promedio de Vtas,</t>
  </si>
  <si>
    <r>
      <t>O</t>
    </r>
    <r>
      <rPr>
        <b/>
        <sz val="9.6999999999999993"/>
        <color indexed="8"/>
        <rFont val="Arial"/>
        <family val="2"/>
      </rPr>
      <t>btener los siguientes:</t>
    </r>
  </si>
  <si>
    <r>
      <t xml:space="preserve"> </t>
    </r>
    <r>
      <rPr>
        <sz val="9.6999999999999993"/>
        <color indexed="8"/>
        <rFont val="Arial"/>
        <family val="2"/>
      </rPr>
      <t xml:space="preserve">· Ventas totales por trimestres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</si>
  <si>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Ventas totales por vendedor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</si>
  <si>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Media mensual de ventas por vendedor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</si>
  <si>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Promedio de ventas por trimestre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</si>
  <si>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A la vista de los datos que se presentan en el siguiente formato de factura, obtener: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</si>
  <si>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El precio bruto, neto y con IVA para cada producto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</si>
  <si>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El importe bruto, neto y con IVA de la factura </t>
    </r>
    <r>
      <rPr>
        <sz val="10"/>
        <rFont val="Arial"/>
        <family val="2"/>
      </rPr>
      <t xml:space="preserve"> </t>
    </r>
  </si>
  <si>
    <t xml:space="preserve">ARTICULO </t>
  </si>
  <si>
    <t xml:space="preserve">PRECIO </t>
  </si>
  <si>
    <t xml:space="preserve">CANTIDAD </t>
  </si>
  <si>
    <t xml:space="preserve">BRUTO </t>
  </si>
  <si>
    <t xml:space="preserve">NETO </t>
  </si>
  <si>
    <t>Impresora</t>
  </si>
  <si>
    <t>CPU</t>
  </si>
  <si>
    <t>Monitor</t>
  </si>
  <si>
    <t>Ratón</t>
  </si>
  <si>
    <t>Teclado</t>
  </si>
  <si>
    <t>Nota: Considerar IVA de:</t>
  </si>
  <si>
    <t>Mantenemos una tabla con los datos correspondientes a las ventas y sueldos base de un grupo</t>
  </si>
  <si>
    <t>de comerciales, así como las comisiones establecidas en la empresa. Se desea elaborar un</t>
  </si>
  <si>
    <t>informe completo con los datos pendientes</t>
  </si>
  <si>
    <t>Comisión:</t>
  </si>
  <si>
    <t>VENDEDOR</t>
  </si>
  <si>
    <t xml:space="preserve">COMISION </t>
  </si>
  <si>
    <t xml:space="preserve">BASE </t>
  </si>
  <si>
    <t xml:space="preserve">TOTAL </t>
  </si>
  <si>
    <t>% VENDEDOR</t>
  </si>
  <si>
    <r>
      <t xml:space="preserve"> </t>
    </r>
    <r>
      <rPr>
        <sz val="9.6999999999999993"/>
        <color indexed="8"/>
        <rFont val="Arial"/>
        <family val="2"/>
      </rPr>
      <t xml:space="preserve">Martín Peña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</si>
  <si>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González Suevo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</si>
  <si>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Arana Higueras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</si>
  <si>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Sierra Garzón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</si>
  <si>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Alvarez Justo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</si>
  <si>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Carnicer Heras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</si>
  <si>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Lopez Vara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</si>
  <si>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Hidalgo Jimena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</si>
  <si>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Vargas Cayo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</si>
  <si>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Hoffman Kocinski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</si>
  <si>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Lisado Hoyos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</si>
  <si>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Gracia Fraile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</si>
  <si>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Castro Suárez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</si>
  <si>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A la vista de los siguientes datos sobre importaciones y exportaciones  en los años </t>
    </r>
    <r>
      <rPr>
        <sz val="10"/>
        <rFont val="Arial"/>
        <family val="2"/>
      </rPr>
      <t xml:space="preserve">referidos y medidos en millones:  </t>
    </r>
  </si>
  <si>
    <r>
      <t xml:space="preserve"> </t>
    </r>
    <r>
      <rPr>
        <sz val="9.6999999999999993"/>
        <color indexed="8"/>
        <rFont val="Arial"/>
        <family val="2"/>
      </rPr>
      <t xml:space="preserve">· Solucionar la hoja de cálculo usando las fórmulas necesarias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</si>
  <si>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· Elaborar un gráfico de barras, donde se compare el volumen de importaciones </t>
    </r>
    <r>
      <rPr>
        <sz val="10"/>
        <rFont val="Arial"/>
        <family val="2"/>
      </rPr>
      <t xml:space="preserve"> frente al de exportaciones en cada año  </t>
    </r>
  </si>
  <si>
    <r>
      <t xml:space="preserve"> </t>
    </r>
    <r>
      <rPr>
        <sz val="9.6999999999999993"/>
        <color indexed="8"/>
        <rFont val="Arial"/>
        <family val="2"/>
      </rPr>
      <t xml:space="preserve">· Elaborar un gráfico de sectores donde se muestre la proporción del volumen de </t>
    </r>
    <r>
      <rPr>
        <sz val="10"/>
        <rFont val="Arial"/>
        <family val="2"/>
      </rPr>
      <t xml:space="preserve"> importaciones frente al de exportaciones en el año 1998</t>
    </r>
  </si>
  <si>
    <r>
      <t xml:space="preserve"> </t>
    </r>
    <r>
      <rPr>
        <sz val="9.6999999999999993"/>
        <color indexed="8"/>
        <rFont val="Arial"/>
        <family val="2"/>
      </rPr>
      <t/>
    </r>
  </si>
  <si>
    <r>
      <t xml:space="preserve"> </t>
    </r>
    <r>
      <rPr>
        <b/>
        <sz val="9.6999999999999993"/>
        <color indexed="8"/>
        <rFont val="Arial"/>
        <family val="2"/>
      </rPr>
      <t xml:space="preserve">AÑOS </t>
    </r>
    <r>
      <rPr>
        <b/>
        <sz val="10"/>
        <rFont val="Arial"/>
        <family val="2"/>
      </rPr>
      <t xml:space="preserve"> </t>
    </r>
  </si>
  <si>
    <r>
      <t xml:space="preserve"> </t>
    </r>
    <r>
      <rPr>
        <b/>
        <sz val="9.6999999999999993"/>
        <color indexed="8"/>
        <rFont val="Arial"/>
        <family val="2"/>
      </rPr>
      <t xml:space="preserve">TOTAL </t>
    </r>
    <r>
      <rPr>
        <b/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</si>
  <si>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Exportaciones </t>
    </r>
    <r>
      <rPr>
        <sz val="10"/>
        <rFont val="Arial"/>
        <family val="2"/>
      </rPr>
      <t xml:space="preserve"> </t>
    </r>
  </si>
  <si>
    <r>
      <t xml:space="preserve"> </t>
    </r>
    <r>
      <rPr>
        <sz val="9.6999999999999993"/>
        <color indexed="8"/>
        <rFont val="Arial"/>
        <family val="2"/>
      </rPr>
      <t xml:space="preserve">% sobre el total </t>
    </r>
    <r>
      <rPr>
        <sz val="10"/>
        <rFont val="Arial"/>
        <family val="2"/>
      </rPr>
      <t xml:space="preserve"> </t>
    </r>
  </si>
  <si>
    <t>% de Exportaciones</t>
  </si>
  <si>
    <r>
      <t xml:space="preserve"> </t>
    </r>
    <r>
      <rPr>
        <sz val="9.6999999999999993"/>
        <color indexed="8"/>
        <rFont val="Arial"/>
        <family val="2"/>
      </rPr>
      <t xml:space="preserve">Importaciones </t>
    </r>
    <r>
      <rPr>
        <sz val="10"/>
        <rFont val="Arial"/>
        <family val="2"/>
      </rPr>
      <t xml:space="preserve"> </t>
    </r>
  </si>
  <si>
    <t>% de Importaciones</t>
  </si>
  <si>
    <r>
      <t xml:space="preserve"> </t>
    </r>
    <r>
      <rPr>
        <b/>
        <sz val="9.6999999999999993"/>
        <color theme="3"/>
        <rFont val="Arial"/>
        <family val="2"/>
      </rPr>
      <t xml:space="preserve">DIFERENCIA Import/export (%) </t>
    </r>
    <r>
      <rPr>
        <b/>
        <sz val="10"/>
        <color theme="3"/>
        <rFont val="Arial"/>
        <family val="2"/>
      </rPr>
      <t xml:space="preserve"> </t>
    </r>
  </si>
  <si>
    <t>Total de Transacciones</t>
  </si>
  <si>
    <t xml:space="preserve">PEDIDO JOSE RAMON RAMIREZ </t>
  </si>
  <si>
    <t>Clave</t>
  </si>
  <si>
    <t>Descripción</t>
  </si>
  <si>
    <t>Precio U.</t>
  </si>
  <si>
    <t>Exis</t>
  </si>
  <si>
    <t xml:space="preserve">Total </t>
  </si>
  <si>
    <t>811213026349</t>
  </si>
  <si>
    <t>1.M.R. FRUIT PUNCH 60 SERVS</t>
  </si>
  <si>
    <t>$ 399.00</t>
  </si>
  <si>
    <t xml:space="preserve">100% CASEIN </t>
  </si>
  <si>
    <t>100% CASEIN MUSCLERACK 1.KG VAINILLA.</t>
  </si>
  <si>
    <t>$ 185.00</t>
  </si>
  <si>
    <t>SINSIN67575</t>
  </si>
  <si>
    <t>100% MICELLAR CASEIN MUSCLERACK.</t>
  </si>
  <si>
    <t>$ 200.00</t>
  </si>
  <si>
    <t xml:space="preserve">100% WHEY </t>
  </si>
  <si>
    <t>100% WHEY MUSCLERACK.</t>
  </si>
  <si>
    <t>$ 210.00</t>
  </si>
  <si>
    <t>851659003993</t>
  </si>
  <si>
    <t>5-IN-1.</t>
  </si>
  <si>
    <t>$ 422.00</t>
  </si>
  <si>
    <t>732907051471</t>
  </si>
  <si>
    <t>ABS OF STEEL 8OZ.</t>
  </si>
  <si>
    <t>$ 299.25</t>
  </si>
  <si>
    <t>728795372767</t>
  </si>
  <si>
    <t>ACACETIN 99 40 CAPS.</t>
  </si>
  <si>
    <t>$ 138.04</t>
  </si>
  <si>
    <t>744430272179</t>
  </si>
  <si>
    <t>ACEITE DE COCO 340ML.</t>
  </si>
  <si>
    <t>$ 45.00</t>
  </si>
  <si>
    <t>AGUINALDO1</t>
  </si>
  <si>
    <t>AGUINALDO 1</t>
  </si>
  <si>
    <t>$ 54.00</t>
  </si>
  <si>
    <t>AGUINALDO2</t>
  </si>
  <si>
    <t>AGUINALDO 2</t>
  </si>
  <si>
    <t>$ 108.00</t>
  </si>
  <si>
    <t>9211639942116</t>
  </si>
  <si>
    <t>ALGA ESPIRULINA MI TIERRA 120 G.</t>
  </si>
  <si>
    <t>$ 69.00</t>
  </si>
  <si>
    <t>094922463111</t>
  </si>
  <si>
    <t>AMINO LIFT. SANDIA 30 SERV</t>
  </si>
  <si>
    <t>$ 273.83</t>
  </si>
  <si>
    <t>631656707885</t>
  </si>
  <si>
    <t>ANARCHY 150G WATERMELON.</t>
  </si>
  <si>
    <t>$ 246.81</t>
  </si>
  <si>
    <t>039442030542</t>
  </si>
  <si>
    <t>ANIMAL PUMP.</t>
  </si>
  <si>
    <t>$ 338.18</t>
  </si>
  <si>
    <t>7500326330711</t>
  </si>
  <si>
    <t>AREWA ARANDANO CHIA.</t>
  </si>
  <si>
    <t>$ 22.00</t>
  </si>
  <si>
    <t>7500326330704</t>
  </si>
  <si>
    <t>AREWA CHOCOLATE Y NUECES.</t>
  </si>
  <si>
    <t>META ARGININA</t>
  </si>
  <si>
    <t>ARGININA + 100 TABS</t>
  </si>
  <si>
    <t>$ 135.00</t>
  </si>
  <si>
    <t>94922368107</t>
  </si>
  <si>
    <t>ARROZ INTEGRAL IK.</t>
  </si>
  <si>
    <t>$ 20.50</t>
  </si>
  <si>
    <t>858311002783</t>
  </si>
  <si>
    <t>ASTRAVAR 2.0 PREWORKOUTCHARGER 30CAPS.</t>
  </si>
  <si>
    <t>$ 65.26</t>
  </si>
  <si>
    <t>94922368109</t>
  </si>
  <si>
    <t>AVENA 1K NM.</t>
  </si>
  <si>
    <t>$ 14.75</t>
  </si>
  <si>
    <t>856363005011</t>
  </si>
  <si>
    <t>B UP BAR CINNAMON ROLL.</t>
  </si>
  <si>
    <t>$ 35.84</t>
  </si>
  <si>
    <t>856363005103</t>
  </si>
  <si>
    <t>B UP BAR PB&amp;J.</t>
  </si>
  <si>
    <t>857487004973</t>
  </si>
  <si>
    <t>B-NOX AMDRORUSH FRUIT PUNCH 1.3LBS.</t>
  </si>
  <si>
    <t>$ 420.00</t>
  </si>
  <si>
    <t>857487005024</t>
  </si>
  <si>
    <t>B-NOX FRESA LIMONADA 35 SERV</t>
  </si>
  <si>
    <t>$ 425.00</t>
  </si>
  <si>
    <t>713757367134</t>
  </si>
  <si>
    <t>BALANCE 120 CAPS.</t>
  </si>
  <si>
    <t>$ 260.27</t>
  </si>
  <si>
    <t>755244017283</t>
  </si>
  <si>
    <t>BALANCED HYDRATION.</t>
  </si>
  <si>
    <t>$ 134.10</t>
  </si>
  <si>
    <t>689570408104</t>
  </si>
  <si>
    <t>BAR GOURMET CHEESECAKE RASPBERRY.</t>
  </si>
  <si>
    <t>$ 29.64</t>
  </si>
  <si>
    <t>689570407527</t>
  </si>
  <si>
    <t>BAR GOURMET CHEESECAKE® CHOCOLATE TRUFFLE.</t>
  </si>
  <si>
    <t>689570408074</t>
  </si>
  <si>
    <t>BART  GOURMET CHEESECAKE  CHOC. PEANUT BUTTER.</t>
  </si>
  <si>
    <t>BCAA MAX</t>
  </si>
  <si>
    <t>BCAA MAX 180 TABS</t>
  </si>
  <si>
    <t>$ 140.00</t>
  </si>
  <si>
    <t>728795372903</t>
  </si>
  <si>
    <t>BCAA SD PHARMACEUTICALS BLUE RASPBERRY 170G.</t>
  </si>
  <si>
    <t>$ 228.41</t>
  </si>
  <si>
    <t>728795372897</t>
  </si>
  <si>
    <t>BCAAS BRANCHED CHAIN PIÑA 30 SERV.</t>
  </si>
  <si>
    <t>$ 227.81</t>
  </si>
  <si>
    <t>BEEFTABS</t>
  </si>
  <si>
    <t>BEEFTABS 180 TABS</t>
  </si>
  <si>
    <t>$ 145.00</t>
  </si>
  <si>
    <t>811213024758</t>
  </si>
  <si>
    <t>BEST PROTEIN BAR COOKIES&amp;CREAM.</t>
  </si>
  <si>
    <t>$ 25.04</t>
  </si>
  <si>
    <t>811213024789</t>
  </si>
  <si>
    <t>BEST PROTEIN BAR SMORES.</t>
  </si>
  <si>
    <t>$ 25.41</t>
  </si>
  <si>
    <t>656727769784</t>
  </si>
  <si>
    <t>BETA-ALANINE 3200 SD.</t>
  </si>
  <si>
    <t>$ 248.11</t>
  </si>
  <si>
    <t>SINSIN37608</t>
  </si>
  <si>
    <t>BIG AQUA 620ML</t>
  </si>
  <si>
    <t>$ 4.13</t>
  </si>
  <si>
    <t>7503018552873</t>
  </si>
  <si>
    <t>BIOTINA PROTGT</t>
  </si>
  <si>
    <t>$ 88.00</t>
  </si>
  <si>
    <t>859613252203</t>
  </si>
  <si>
    <t>BLACK SPIDER POWDER 30 SERV CHERRY LIMONADE</t>
  </si>
  <si>
    <t>$ 275.00</t>
  </si>
  <si>
    <t>852263907271</t>
  </si>
  <si>
    <t>BLOOD BATH ORANGE PINEAPPLE 30 SERV.</t>
  </si>
  <si>
    <t>$ 321.13</t>
  </si>
  <si>
    <t>811213021634</t>
  </si>
  <si>
    <t>BULK MUSCLE 5.8LB CHOCOLATE PEANUT.</t>
  </si>
  <si>
    <t>$ 559.00</t>
  </si>
  <si>
    <t>610563314775</t>
  </si>
  <si>
    <t>CANIBAL CARNA LIMONADE 30 SERV.</t>
  </si>
  <si>
    <t>$ 256.22</t>
  </si>
  <si>
    <t>039442011213</t>
  </si>
  <si>
    <t>CARBO PLUS UNFLAVOR 2.2LB</t>
  </si>
  <si>
    <t>$ 290.00</t>
  </si>
  <si>
    <t>728795372958</t>
  </si>
  <si>
    <t>CARNITINE 750 120 CAPS.</t>
  </si>
  <si>
    <t>$ 190.81</t>
  </si>
  <si>
    <t>891597004072</t>
  </si>
  <si>
    <t>CARNIVOR BROWNIE.</t>
  </si>
  <si>
    <t>$ 31.67</t>
  </si>
  <si>
    <t>073472002582</t>
  </si>
  <si>
    <t>CEREAL  EZEKIEL 4:9 ALMENDRA.</t>
  </si>
  <si>
    <t>$ 94.07</t>
  </si>
  <si>
    <t>073472002575</t>
  </si>
  <si>
    <t>CEREAL EZEKIEL 4:9 PASAS.</t>
  </si>
  <si>
    <t>$ 99.25</t>
  </si>
  <si>
    <t>7503003488019</t>
  </si>
  <si>
    <t>CHARRITOS CHILE 40G.</t>
  </si>
  <si>
    <t>$ 5.40</t>
  </si>
  <si>
    <t>7503003488514</t>
  </si>
  <si>
    <t>CHARRITOS LIMON 40G.</t>
  </si>
  <si>
    <t>665553201788</t>
  </si>
  <si>
    <t>CLA 150 CAPS ALLMAX.</t>
  </si>
  <si>
    <t>$ 309.37</t>
  </si>
  <si>
    <t>665553200347</t>
  </si>
  <si>
    <t>CLA FEMME 60 CAPS.</t>
  </si>
  <si>
    <t>$ 152.21</t>
  </si>
  <si>
    <t>CLAMETA</t>
  </si>
  <si>
    <t>CLA+ META 90 SOFTGELS.</t>
  </si>
  <si>
    <t>$ 115.00</t>
  </si>
  <si>
    <t>689466706239</t>
  </si>
  <si>
    <t>COBRA 6P 60 CAPS BLACKSTONE.</t>
  </si>
  <si>
    <t>$ 346.57</t>
  </si>
  <si>
    <t>7508304265307</t>
  </si>
  <si>
    <t>COCOFRESH AGUA COCO.</t>
  </si>
  <si>
    <t>$ 13.00</t>
  </si>
  <si>
    <t>7586356311104</t>
  </si>
  <si>
    <t>COLLAGEN UVA.</t>
  </si>
  <si>
    <t>$ 103.24</t>
  </si>
  <si>
    <t>660845917897</t>
  </si>
  <si>
    <t>CREAREV 30 SERV FRUIT PUNCH.</t>
  </si>
  <si>
    <t>$ 188.27</t>
  </si>
  <si>
    <t>040232245794</t>
  </si>
  <si>
    <t>DEMON DUST 50 SERVS CINNAMONIC.</t>
  </si>
  <si>
    <t>$ 360.59</t>
  </si>
  <si>
    <t>744546771238</t>
  </si>
  <si>
    <t>DIET BODY SHAKE CHOCOLATE 1750GR.</t>
  </si>
  <si>
    <t>$ 373.02</t>
  </si>
  <si>
    <t>744546771252</t>
  </si>
  <si>
    <t>DIET BODY SHAKE FRESA 1750GR.</t>
  </si>
  <si>
    <t>ELASTIMAX</t>
  </si>
  <si>
    <t>ELASTIMAX 90 TABS</t>
  </si>
  <si>
    <t>7500462370800</t>
  </si>
  <si>
    <t>EXTREME POWER 1750GR</t>
  </si>
  <si>
    <t>$ 582.00</t>
  </si>
  <si>
    <t>7501060802823</t>
  </si>
  <si>
    <t>FIBRA FIBRALINAT 500G.</t>
  </si>
  <si>
    <t>$ 30.39</t>
  </si>
  <si>
    <t>713757920803</t>
  </si>
  <si>
    <t>FISH OIL 30 CAPS.</t>
  </si>
  <si>
    <t>$ 161.37</t>
  </si>
  <si>
    <t>855504001301</t>
  </si>
  <si>
    <t>FLEX FREAK 30PACKS.</t>
  </si>
  <si>
    <t>$ 304.25</t>
  </si>
  <si>
    <t>689570407121</t>
  </si>
  <si>
    <t>FLURRY PROTEIN SHAKE 11OZ FRESA-PLATANO.</t>
  </si>
  <si>
    <t>$ 23.00</t>
  </si>
  <si>
    <t>FRESA 2K</t>
  </si>
  <si>
    <t>FRESA LA HUERTA 2K.</t>
  </si>
  <si>
    <t>$ 4.15</t>
  </si>
  <si>
    <t>FULLAMINOS180</t>
  </si>
  <si>
    <t>FULL AMINOS 180 TABS</t>
  </si>
  <si>
    <t>$ 100.00</t>
  </si>
  <si>
    <t>FULLAMINOS500</t>
  </si>
  <si>
    <t>FULL AMINOS 500 TABS</t>
  </si>
  <si>
    <t>$ 225.00</t>
  </si>
  <si>
    <t xml:space="preserve">FULL CARB META 64 </t>
  </si>
  <si>
    <t>FULL CARB META 64 SERV</t>
  </si>
  <si>
    <t>$ 198.00</t>
  </si>
  <si>
    <t>FULL PROTEIN</t>
  </si>
  <si>
    <t>FULL PROTEIN 4.4Lb.</t>
  </si>
  <si>
    <t>$ 325.00</t>
  </si>
  <si>
    <t>7503003488309</t>
  </si>
  <si>
    <t>GALLETAS DE AMARANTO CON CHOCOLATE.</t>
  </si>
  <si>
    <t>$ 6.40</t>
  </si>
  <si>
    <t>728795372743</t>
  </si>
  <si>
    <t>GARCINIA CAMBOGIA 500 SD PHARMACEUTICALS.</t>
  </si>
  <si>
    <t>$ 128.84</t>
  </si>
  <si>
    <t>mvgLUTAM</t>
  </si>
  <si>
    <t>GLUTAMINA MYO-VECTOR 600G.</t>
  </si>
  <si>
    <t>$ 270.00</t>
  </si>
  <si>
    <t>728795372729</t>
  </si>
  <si>
    <t>GREEN COFFEE BEAN.</t>
  </si>
  <si>
    <t>$ 123.00</t>
  </si>
  <si>
    <t>710779100114</t>
  </si>
  <si>
    <t>GREEN SUPERFOOD 30 SERV.</t>
  </si>
  <si>
    <t>$ 246.01</t>
  </si>
  <si>
    <t>7503003101864</t>
  </si>
  <si>
    <t>GYM WATER CHIC.</t>
  </si>
  <si>
    <t>$ 20.51</t>
  </si>
  <si>
    <t>7503003101819</t>
  </si>
  <si>
    <t>GYM WATER.</t>
  </si>
  <si>
    <t>7503003488811</t>
  </si>
  <si>
    <t>HARINA INTEGRAL DE AMARANTO PASTEL CHOCOLATE 309G.</t>
  </si>
  <si>
    <t>$ 35.04</t>
  </si>
  <si>
    <t>748252209290</t>
  </si>
  <si>
    <t>HAZMAT 60 CAPS.</t>
  </si>
  <si>
    <t>$ 229.00</t>
  </si>
  <si>
    <t>786560508858</t>
  </si>
  <si>
    <t>HMB 1000 90 CAPS.</t>
  </si>
  <si>
    <t>$ 312.25</t>
  </si>
  <si>
    <t>646437080675</t>
  </si>
  <si>
    <t>HYDROTEIN  WHEY PROTEIN MOKA.</t>
  </si>
  <si>
    <t>$ 619.20</t>
  </si>
  <si>
    <t>731236328186</t>
  </si>
  <si>
    <t>INDUSTRIAL WHEY CINNAMON SWIRL 4LB</t>
  </si>
  <si>
    <t>$ 520.00</t>
  </si>
  <si>
    <t>045635086883</t>
  </si>
  <si>
    <t>INSANITY 45 CAPS</t>
  </si>
  <si>
    <t>$ 480.00</t>
  </si>
  <si>
    <t>7500462314958</t>
  </si>
  <si>
    <t>ISO ALL4 NUTRITION 2 LB CHOCOLATE</t>
  </si>
  <si>
    <t>$ 379.81</t>
  </si>
  <si>
    <t>035046078560</t>
  </si>
  <si>
    <t>ISO-TEST 60 CAPS</t>
  </si>
  <si>
    <t>$ 304.00</t>
  </si>
  <si>
    <t>705016473137</t>
  </si>
  <si>
    <t>L-CARNITINA 16OZ BERRY.</t>
  </si>
  <si>
    <t>$ 175.00</t>
  </si>
  <si>
    <t>7503007844095</t>
  </si>
  <si>
    <t>LEOLI ALMENDRA  500 GR</t>
  </si>
  <si>
    <t>$ 57.69</t>
  </si>
  <si>
    <t>853237000721</t>
  </si>
  <si>
    <t>LIPO 6 BLACK HERS 60CAPS MEJORADO.</t>
  </si>
  <si>
    <t>$ 351.12</t>
  </si>
  <si>
    <t>857084000569</t>
  </si>
  <si>
    <t>LIPODRENE 100CAP AMARILLO,</t>
  </si>
  <si>
    <t>$ 385.44</t>
  </si>
  <si>
    <t>718117089329</t>
  </si>
  <si>
    <t>LIPOSLIM 100 SOFTGEL.</t>
  </si>
  <si>
    <t>$ 204.58</t>
  </si>
  <si>
    <t>9211639942147</t>
  </si>
  <si>
    <t>MACA POWDER 120G.</t>
  </si>
  <si>
    <t>$ 98.00</t>
  </si>
  <si>
    <t>94922368128</t>
  </si>
  <si>
    <t>MAGNESIA 700GR.</t>
  </si>
  <si>
    <t>$ 65.00</t>
  </si>
  <si>
    <t>AMARILLA 6</t>
  </si>
  <si>
    <t>MAS GAINER AMARILLA 6 LIBRAS.</t>
  </si>
  <si>
    <t>$ 250.00</t>
  </si>
  <si>
    <t>610585454800</t>
  </si>
  <si>
    <t>MASS BOLIC FX CHOCOLATE 10 LB.</t>
  </si>
  <si>
    <t>$ 683.91</t>
  </si>
  <si>
    <t>728795373375</t>
  </si>
  <si>
    <t>MASS FREAK 15LIBRAS COOKIES AND CREAM.</t>
  </si>
  <si>
    <t>$ 868.31</t>
  </si>
  <si>
    <t>736902336632</t>
  </si>
  <si>
    <t>MASSACRE 45 CAPS</t>
  </si>
  <si>
    <t>$ 320.00</t>
  </si>
  <si>
    <t>MAXTRIB</t>
  </si>
  <si>
    <t>MAX TRIB META 90CAP.</t>
  </si>
  <si>
    <t>$ 125.41</t>
  </si>
  <si>
    <t>YOPLAIT</t>
  </si>
  <si>
    <t>MEDIDA DE YOGURTH.</t>
  </si>
  <si>
    <t>$ 4.16</t>
  </si>
  <si>
    <t>L CARNITINA META</t>
  </si>
  <si>
    <t>META  CARNITINE +.</t>
  </si>
  <si>
    <t>$ 94.99</t>
  </si>
  <si>
    <t>AMIMET58232</t>
  </si>
  <si>
    <t>META CREATINA 500GR.</t>
  </si>
  <si>
    <t>$ 125.00</t>
  </si>
  <si>
    <t>AMIMET16200</t>
  </si>
  <si>
    <t>META GLUTAMINA 500GR.</t>
  </si>
  <si>
    <t>$ 220.00</t>
  </si>
  <si>
    <t>META MASS 12LB</t>
  </si>
  <si>
    <t>META MASS 12LB (AMARILLA).</t>
  </si>
  <si>
    <t>$ 440.00</t>
  </si>
  <si>
    <t>PROMET46878</t>
  </si>
  <si>
    <t>META MICELLAR CASEIN 4LB.</t>
  </si>
  <si>
    <t>$ 410.00</t>
  </si>
  <si>
    <t>metaveg</t>
  </si>
  <si>
    <t>METAVEG 5LBS.</t>
  </si>
  <si>
    <t>850171005171</t>
  </si>
  <si>
    <t>MIGHTY MUFFIN PEANUT BUTTER.</t>
  </si>
  <si>
    <t>$ 32.47</t>
  </si>
  <si>
    <t>850171005195</t>
  </si>
  <si>
    <t>MIGHTY MUFFIN SMORES.</t>
  </si>
  <si>
    <t>631656500448</t>
  </si>
  <si>
    <t>MISSION CLEAN BAR CHOCOLATE CHIP.</t>
  </si>
  <si>
    <t>$ 29.02</t>
  </si>
  <si>
    <t>660726792216</t>
  </si>
  <si>
    <t>MONSTER MILK 4.8 LB CHOCOLATE.</t>
  </si>
  <si>
    <t>$ 794.56</t>
  </si>
  <si>
    <t>7501060899922</t>
  </si>
  <si>
    <t>MORINGA VIDANAT 30 CAPS</t>
  </si>
  <si>
    <t>$ 89.00</t>
  </si>
  <si>
    <t>MUFFINNM</t>
  </si>
  <si>
    <t>MUFFINS NM HEALTHY.</t>
  </si>
  <si>
    <t>$ 15.00</t>
  </si>
  <si>
    <t>787692835232</t>
  </si>
  <si>
    <t>MUSCLE BROWNIE  COOKIES &amp;CREAM.</t>
  </si>
  <si>
    <t>$ 25.45</t>
  </si>
  <si>
    <t>787692835140</t>
  </si>
  <si>
    <t>MUSCLE BROWNIE.</t>
  </si>
  <si>
    <t>857268005243</t>
  </si>
  <si>
    <t>MUSCLE INFUSION CHOCOLATE 5 LB.</t>
  </si>
  <si>
    <t>$ 676.50</t>
  </si>
  <si>
    <t>7500462109660</t>
  </si>
  <si>
    <t>MUSCLE TONING 1750GR VAINILLA</t>
  </si>
  <si>
    <t>MV'002'2015</t>
  </si>
  <si>
    <t>MYO-VECTOR  3 LBS FEMME / ZERO.</t>
  </si>
  <si>
    <t>$ 553.00</t>
  </si>
  <si>
    <t>MV'004'2015</t>
  </si>
  <si>
    <t>MYO-VECTOR BCAA 450GR.</t>
  </si>
  <si>
    <t>$ 295.00</t>
  </si>
  <si>
    <t>oxhxc</t>
  </si>
  <si>
    <t>MYO-VECTOR FEMME VAINILLA 3 LB</t>
  </si>
  <si>
    <t>$ 610.00</t>
  </si>
  <si>
    <t>Subtotal</t>
  </si>
  <si>
    <t>Descuento Articulos &gt; 350</t>
  </si>
  <si>
    <t>Subtotal con descuento</t>
  </si>
  <si>
    <t>IVA 16%</t>
  </si>
  <si>
    <t>No. De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</si>
</sst>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.000"/>
    <numFmt numFmtId="167" formatCode="#0.0"/>
  </numFmts>
  <fonts count="43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sz val="9.6999999999999993"/>
      <color indexed="8"/>
      <name val="Arial"/>
      <family val="2"/>
    </font>
    <font>
      <b/>
      <sz val="9.6999999999999993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7"/>
      <name val="Times New Roman"/>
      <family val="1"/>
    </font>
    <font>
      <b/>
      <sz val="9"/>
      <name val="Verdana"/>
      <family val="2"/>
    </font>
    <font>
      <b/>
      <u/>
      <sz val="10"/>
      <name val="Verdana"/>
      <family val="2"/>
    </font>
    <font>
      <sz val="10"/>
      <color indexed="18"/>
      <name val="Arial"/>
      <family val="2"/>
    </font>
    <font>
      <b/>
      <sz val="10"/>
      <color indexed="12"/>
      <name val="Arial"/>
      <family val="2"/>
    </font>
    <font>
      <b/>
      <sz val="10"/>
      <color indexed="53"/>
      <name val="Arial"/>
      <family val="2"/>
    </font>
    <font>
      <b/>
      <sz val="12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i/>
      <sz val="10"/>
      <color theme="9" tint="-0.249977111117893"/>
      <name val="Verdana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0"/>
      <name val="Arial"/>
      <family val="2"/>
    </font>
    <font>
      <sz val="9.6999999999999993"/>
      <color theme="0"/>
      <name val="Arial"/>
      <family val="2"/>
    </font>
    <font>
      <b/>
      <sz val="10"/>
      <color theme="3"/>
      <name val="Arial"/>
      <family val="2"/>
    </font>
    <font>
      <b/>
      <sz val="9.6999999999999993"/>
      <color theme="3"/>
      <name val="Arial"/>
      <family val="2"/>
    </font>
    <font>
      <b/>
      <sz val="12"/>
      <name val="Microsoft Sans Serif"/>
      <family val="2"/>
    </font>
    <font>
      <sz val="12"/>
      <name val="Microsoft Sans Serif"/>
      <family val="2"/>
    </font>
    <font>
      <b/>
      <sz val="12"/>
      <color theme="0"/>
      <name val="Microsoft Sans Serif"/>
      <family val="2"/>
    </font>
    <font>
      <sz val="9"/>
      <color theme="1"/>
      <name val="Dialog"/>
      <family val="2"/>
    </font>
    <font>
      <sz val="9"/>
      <color theme="1"/>
      <name val="Dialog"/>
    </font>
    <font>
      <b/>
      <sz val="10"/>
      <color rgb="FFFFFFFF"/>
      <name val="Dialog"/>
      <family val="2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/>
    <xf numFmtId="0" fontId="2" fillId="0" borderId="0" xfId="0" applyFont="1"/>
    <xf numFmtId="3" fontId="2" fillId="0" borderId="1" xfId="0" applyNumberFormat="1" applyFont="1" applyBorder="1"/>
    <xf numFmtId="3" fontId="2" fillId="0" borderId="0" xfId="0" applyNumberFormat="1" applyFont="1"/>
    <xf numFmtId="0" fontId="3" fillId="6" borderId="2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6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/>
    <xf numFmtId="2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5" fillId="4" borderId="1" xfId="0" applyFont="1" applyFill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9" fontId="0" fillId="0" borderId="0" xfId="1" applyFont="1"/>
    <xf numFmtId="0" fontId="1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4" fillId="0" borderId="0" xfId="0" applyFont="1"/>
    <xf numFmtId="0" fontId="17" fillId="0" borderId="0" xfId="0" applyFont="1"/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right"/>
    </xf>
    <xf numFmtId="0" fontId="20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44" fontId="0" fillId="0" borderId="0" xfId="2" applyFont="1"/>
    <xf numFmtId="0" fontId="5" fillId="0" borderId="1" xfId="0" applyFont="1" applyBorder="1"/>
    <xf numFmtId="9" fontId="0" fillId="0" borderId="1" xfId="1" applyFont="1" applyBorder="1" applyAlignment="1">
      <alignment horizontal="center"/>
    </xf>
    <xf numFmtId="0" fontId="0" fillId="0" borderId="14" xfId="0" applyBorder="1"/>
    <xf numFmtId="0" fontId="6" fillId="0" borderId="15" xfId="0" applyFont="1" applyBorder="1"/>
    <xf numFmtId="0" fontId="6" fillId="0" borderId="16" xfId="0" applyFont="1" applyBorder="1" applyAlignment="1">
      <alignment vertical="top" wrapText="1"/>
    </xf>
    <xf numFmtId="0" fontId="0" fillId="0" borderId="17" xfId="0" applyBorder="1"/>
    <xf numFmtId="0" fontId="6" fillId="0" borderId="18" xfId="0" applyFont="1" applyBorder="1" applyAlignment="1">
      <alignment vertical="top" wrapText="1"/>
    </xf>
    <xf numFmtId="0" fontId="0" fillId="0" borderId="19" xfId="0" applyBorder="1"/>
    <xf numFmtId="0" fontId="6" fillId="0" borderId="0" xfId="0" applyFont="1" applyAlignment="1">
      <alignment horizontal="center" vertical="center" wrapText="1"/>
    </xf>
    <xf numFmtId="0" fontId="6" fillId="4" borderId="10" xfId="0" applyFont="1" applyFill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6" fillId="5" borderId="20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 wrapText="1"/>
    </xf>
    <xf numFmtId="0" fontId="25" fillId="0" borderId="0" xfId="3" applyFont="1" applyAlignment="1" applyProtection="1"/>
    <xf numFmtId="0" fontId="26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/>
    <xf numFmtId="0" fontId="6" fillId="12" borderId="10" xfId="0" applyFont="1" applyFill="1" applyBorder="1"/>
    <xf numFmtId="0" fontId="0" fillId="11" borderId="22" xfId="0" applyFill="1" applyBorder="1"/>
    <xf numFmtId="3" fontId="6" fillId="0" borderId="23" xfId="0" applyNumberFormat="1" applyFont="1" applyBorder="1" applyAlignment="1">
      <alignment horizontal="right" vertical="center" wrapText="1"/>
    </xf>
    <xf numFmtId="3" fontId="6" fillId="0" borderId="25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 vertical="top" wrapText="1"/>
    </xf>
    <xf numFmtId="3" fontId="6" fillId="0" borderId="25" xfId="0" applyNumberFormat="1" applyFont="1" applyBorder="1" applyAlignment="1">
      <alignment horizontal="right" vertical="top" wrapText="1"/>
    </xf>
    <xf numFmtId="0" fontId="0" fillId="11" borderId="24" xfId="0" applyFill="1" applyBorder="1" applyAlignment="1">
      <alignment vertical="top" wrapText="1"/>
    </xf>
    <xf numFmtId="0" fontId="0" fillId="11" borderId="26" xfId="0" applyFill="1" applyBorder="1" applyAlignment="1">
      <alignment vertical="top" wrapText="1"/>
    </xf>
    <xf numFmtId="0" fontId="6" fillId="0" borderId="27" xfId="0" applyFont="1" applyBorder="1" applyAlignment="1">
      <alignment horizontal="right" vertical="top" wrapText="1"/>
    </xf>
    <xf numFmtId="0" fontId="14" fillId="0" borderId="10" xfId="0" applyFont="1" applyBorder="1" applyAlignment="1">
      <alignment horizontal="justify" vertical="top" wrapText="1"/>
    </xf>
    <xf numFmtId="0" fontId="29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justify" vertical="top" wrapText="1"/>
    </xf>
    <xf numFmtId="0" fontId="29" fillId="0" borderId="7" xfId="0" applyFont="1" applyBorder="1" applyAlignment="1">
      <alignment horizontal="left" vertical="top" wrapText="1"/>
    </xf>
    <xf numFmtId="0" fontId="29" fillId="0" borderId="7" xfId="0" applyFont="1" applyBorder="1" applyAlignment="1">
      <alignment horizontal="justify" vertical="top" wrapText="1"/>
    </xf>
    <xf numFmtId="0" fontId="30" fillId="0" borderId="0" xfId="0" applyFont="1"/>
    <xf numFmtId="44" fontId="0" fillId="0" borderId="17" xfId="2" applyFont="1" applyBorder="1"/>
    <xf numFmtId="44" fontId="0" fillId="0" borderId="19" xfId="2" applyFont="1" applyBorder="1"/>
    <xf numFmtId="44" fontId="6" fillId="0" borderId="21" xfId="2" applyFont="1" applyBorder="1" applyAlignment="1">
      <alignment vertical="top" wrapText="1"/>
    </xf>
    <xf numFmtId="44" fontId="6" fillId="0" borderId="8" xfId="2" applyFont="1" applyBorder="1" applyAlignment="1">
      <alignment vertical="top" wrapText="1"/>
    </xf>
    <xf numFmtId="44" fontId="6" fillId="0" borderId="20" xfId="2" applyFont="1" applyBorder="1" applyAlignment="1">
      <alignment vertical="top" wrapText="1"/>
    </xf>
    <xf numFmtId="44" fontId="6" fillId="0" borderId="6" xfId="2" applyFont="1" applyBorder="1" applyAlignment="1">
      <alignment vertical="top" wrapText="1"/>
    </xf>
    <xf numFmtId="44" fontId="6" fillId="0" borderId="6" xfId="2" applyFont="1" applyBorder="1"/>
    <xf numFmtId="44" fontId="6" fillId="0" borderId="7" xfId="2" applyFont="1" applyBorder="1"/>
    <xf numFmtId="2" fontId="0" fillId="0" borderId="0" xfId="1" applyNumberFormat="1" applyFont="1"/>
    <xf numFmtId="0" fontId="5" fillId="0" borderId="0" xfId="0" applyFont="1" applyAlignment="1">
      <alignment wrapText="1"/>
    </xf>
    <xf numFmtId="0" fontId="3" fillId="0" borderId="41" xfId="0" applyFont="1" applyBorder="1"/>
    <xf numFmtId="3" fontId="2" fillId="0" borderId="41" xfId="0" applyNumberFormat="1" applyFont="1" applyBorder="1"/>
    <xf numFmtId="0" fontId="5" fillId="4" borderId="38" xfId="0" applyFont="1" applyFill="1" applyBorder="1"/>
    <xf numFmtId="0" fontId="6" fillId="3" borderId="38" xfId="0" applyFont="1" applyFill="1" applyBorder="1"/>
    <xf numFmtId="44" fontId="2" fillId="0" borderId="1" xfId="2" applyFont="1" applyBorder="1"/>
    <xf numFmtId="3" fontId="0" fillId="0" borderId="0" xfId="0" applyNumberFormat="1"/>
    <xf numFmtId="0" fontId="33" fillId="15" borderId="0" xfId="0" applyFont="1" applyFill="1"/>
    <xf numFmtId="3" fontId="0" fillId="16" borderId="1" xfId="0" applyNumberFormat="1" applyFill="1" applyBorder="1"/>
    <xf numFmtId="0" fontId="6" fillId="18" borderId="0" xfId="0" applyFont="1" applyFill="1" applyAlignment="1">
      <alignment horizontal="center"/>
    </xf>
    <xf numFmtId="0" fontId="0" fillId="17" borderId="1" xfId="0" applyFill="1" applyBorder="1"/>
    <xf numFmtId="3" fontId="0" fillId="17" borderId="1" xfId="0" applyNumberFormat="1" applyFill="1" applyBorder="1"/>
    <xf numFmtId="0" fontId="0" fillId="19" borderId="1" xfId="0" applyFill="1" applyBorder="1"/>
    <xf numFmtId="0" fontId="35" fillId="19" borderId="1" xfId="0" applyFont="1" applyFill="1" applyBorder="1"/>
    <xf numFmtId="9" fontId="35" fillId="19" borderId="1" xfId="0" applyNumberFormat="1" applyFont="1" applyFill="1" applyBorder="1"/>
    <xf numFmtId="0" fontId="1" fillId="0" borderId="0" xfId="0" applyFont="1"/>
    <xf numFmtId="0" fontId="1" fillId="13" borderId="1" xfId="0" applyFont="1" applyFill="1" applyBorder="1"/>
    <xf numFmtId="3" fontId="0" fillId="13" borderId="1" xfId="0" applyNumberFormat="1" applyFill="1" applyBorder="1"/>
    <xf numFmtId="9" fontId="1" fillId="0" borderId="5" xfId="1" applyBorder="1" applyAlignment="1">
      <alignment horizontal="right"/>
    </xf>
    <xf numFmtId="0" fontId="38" fillId="0" borderId="30" xfId="0" applyFont="1" applyBorder="1" applyAlignment="1">
      <alignment horizontal="justify" vertical="top" wrapText="1"/>
    </xf>
    <xf numFmtId="0" fontId="38" fillId="0" borderId="31" xfId="0" applyFont="1" applyBorder="1" applyAlignment="1">
      <alignment horizontal="justify" vertical="top" wrapText="1"/>
    </xf>
    <xf numFmtId="0" fontId="38" fillId="0" borderId="32" xfId="0" applyFont="1" applyBorder="1" applyAlignment="1">
      <alignment horizontal="justify" vertical="top" wrapText="1"/>
    </xf>
    <xf numFmtId="0" fontId="38" fillId="0" borderId="0" xfId="0" applyFont="1" applyAlignment="1">
      <alignment horizontal="justify" vertical="top" wrapText="1"/>
    </xf>
    <xf numFmtId="0" fontId="37" fillId="21" borderId="29" xfId="0" applyFont="1" applyFill="1" applyBorder="1" applyAlignment="1">
      <alignment horizontal="center" wrapText="1"/>
    </xf>
    <xf numFmtId="0" fontId="38" fillId="7" borderId="29" xfId="0" applyFont="1" applyFill="1" applyBorder="1" applyAlignment="1">
      <alignment horizontal="justify" vertical="top" wrapText="1"/>
    </xf>
    <xf numFmtId="0" fontId="38" fillId="14" borderId="29" xfId="0" applyFont="1" applyFill="1" applyBorder="1" applyAlignment="1">
      <alignment horizontal="justify" vertical="top" wrapText="1"/>
    </xf>
    <xf numFmtId="0" fontId="38" fillId="22" borderId="29" xfId="0" applyFont="1" applyFill="1" applyBorder="1" applyAlignment="1">
      <alignment horizontal="justify" vertical="top" wrapText="1"/>
    </xf>
    <xf numFmtId="0" fontId="37" fillId="23" borderId="29" xfId="0" applyFont="1" applyFill="1" applyBorder="1" applyAlignment="1">
      <alignment horizontal="right" wrapText="1"/>
    </xf>
    <xf numFmtId="165" fontId="1" fillId="0" borderId="7" xfId="0" applyNumberFormat="1" applyFont="1" applyBorder="1" applyAlignment="1">
      <alignment horizontal="right"/>
    </xf>
    <xf numFmtId="165" fontId="1" fillId="3" borderId="7" xfId="0" applyNumberFormat="1" applyFont="1" applyFill="1" applyBorder="1"/>
    <xf numFmtId="166" fontId="1" fillId="0" borderId="7" xfId="0" applyNumberFormat="1" applyFont="1" applyBorder="1" applyAlignment="1">
      <alignment horizontal="right"/>
    </xf>
    <xf numFmtId="164" fontId="0" fillId="10" borderId="1" xfId="1" applyNumberFormat="1" applyFont="1" applyFill="1" applyBorder="1"/>
    <xf numFmtId="164" fontId="0" fillId="10" borderId="1" xfId="0" applyNumberFormat="1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11" borderId="1" xfId="0" applyNumberFormat="1" applyFill="1" applyBorder="1"/>
    <xf numFmtId="164" fontId="0" fillId="11" borderId="1" xfId="2" applyNumberFormat="1" applyFont="1" applyFill="1" applyBorder="1"/>
    <xf numFmtId="1" fontId="2" fillId="0" borderId="1" xfId="2" applyNumberFormat="1" applyFont="1" applyBorder="1"/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0" fontId="0" fillId="25" borderId="1" xfId="0" applyFill="1" applyBorder="1" applyAlignment="1">
      <alignment horizontal="center"/>
    </xf>
    <xf numFmtId="2" fontId="0" fillId="26" borderId="1" xfId="0" applyNumberFormat="1" applyFill="1" applyBorder="1"/>
    <xf numFmtId="0" fontId="0" fillId="26" borderId="1" xfId="0" applyFill="1" applyBorder="1"/>
    <xf numFmtId="0" fontId="0" fillId="16" borderId="1" xfId="0" applyFill="1" applyBorder="1" applyAlignment="1">
      <alignment horizontal="center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right"/>
    </xf>
    <xf numFmtId="0" fontId="0" fillId="26" borderId="1" xfId="0" applyFill="1" applyBorder="1" applyAlignment="1">
      <alignment horizontal="center"/>
    </xf>
    <xf numFmtId="3" fontId="0" fillId="27" borderId="1" xfId="0" applyNumberFormat="1" applyFill="1" applyBorder="1"/>
    <xf numFmtId="3" fontId="0" fillId="26" borderId="1" xfId="0" applyNumberFormat="1" applyFill="1" applyBorder="1"/>
    <xf numFmtId="3" fontId="0" fillId="26" borderId="39" xfId="0" applyNumberFormat="1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44" fontId="0" fillId="29" borderId="1" xfId="2" applyFont="1" applyFill="1" applyBorder="1"/>
    <xf numFmtId="44" fontId="0" fillId="29" borderId="1" xfId="0" applyNumberFormat="1" applyFill="1" applyBorder="1"/>
    <xf numFmtId="9" fontId="0" fillId="29" borderId="1" xfId="1" applyFont="1" applyFill="1" applyBorder="1"/>
    <xf numFmtId="0" fontId="3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/>
    </xf>
    <xf numFmtId="0" fontId="1" fillId="0" borderId="1" xfId="0" applyFont="1" applyBorder="1"/>
    <xf numFmtId="167" fontId="0" fillId="0" borderId="1" xfId="0" applyNumberForma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0" fontId="0" fillId="31" borderId="1" xfId="0" applyFill="1" applyBorder="1"/>
    <xf numFmtId="0" fontId="0" fillId="31" borderId="2" xfId="0" applyFill="1" applyBorder="1"/>
    <xf numFmtId="0" fontId="0" fillId="31" borderId="42" xfId="0" applyFill="1" applyBorder="1"/>
    <xf numFmtId="0" fontId="0" fillId="30" borderId="1" xfId="0" applyFill="1" applyBorder="1"/>
    <xf numFmtId="0" fontId="0" fillId="30" borderId="2" xfId="0" applyFill="1" applyBorder="1"/>
    <xf numFmtId="0" fontId="0" fillId="30" borderId="42" xfId="0" applyFill="1" applyBorder="1"/>
    <xf numFmtId="0" fontId="11" fillId="32" borderId="0" xfId="0" applyFont="1" applyFill="1" applyAlignment="1">
      <alignment horizontal="right"/>
    </xf>
    <xf numFmtId="9" fontId="0" fillId="33" borderId="42" xfId="1" applyFont="1" applyFill="1" applyBorder="1"/>
    <xf numFmtId="0" fontId="0" fillId="33" borderId="2" xfId="0" applyFill="1" applyBorder="1"/>
    <xf numFmtId="0" fontId="0" fillId="33" borderId="42" xfId="0" applyFill="1" applyBorder="1"/>
    <xf numFmtId="164" fontId="40" fillId="35" borderId="1" xfId="0" applyNumberFormat="1" applyFont="1" applyFill="1" applyBorder="1" applyAlignment="1">
      <alignment horizontal="right" vertical="center"/>
    </xf>
    <xf numFmtId="0" fontId="1" fillId="0" borderId="9" xfId="0" applyFont="1" applyBorder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166" fontId="1" fillId="3" borderId="5" xfId="0" applyNumberFormat="1" applyFont="1" applyFill="1" applyBorder="1"/>
    <xf numFmtId="166" fontId="1" fillId="3" borderId="7" xfId="0" applyNumberFormat="1" applyFont="1" applyFill="1" applyBorder="1"/>
    <xf numFmtId="0" fontId="1" fillId="3" borderId="7" xfId="0" applyFont="1" applyFill="1" applyBorder="1"/>
    <xf numFmtId="0" fontId="1" fillId="11" borderId="24" xfId="0" applyFont="1" applyFill="1" applyBorder="1" applyAlignment="1">
      <alignment horizontal="left" vertical="center" wrapText="1"/>
    </xf>
    <xf numFmtId="0" fontId="1" fillId="32" borderId="1" xfId="0" applyFont="1" applyFill="1" applyBorder="1"/>
    <xf numFmtId="0" fontId="1" fillId="32" borderId="2" xfId="0" applyFont="1" applyFill="1" applyBorder="1"/>
    <xf numFmtId="0" fontId="1" fillId="32" borderId="42" xfId="0" applyFont="1" applyFill="1" applyBorder="1"/>
    <xf numFmtId="0" fontId="1" fillId="31" borderId="1" xfId="0" applyFont="1" applyFill="1" applyBorder="1"/>
    <xf numFmtId="0" fontId="1" fillId="30" borderId="1" xfId="0" applyFont="1" applyFill="1" applyBorder="1"/>
    <xf numFmtId="0" fontId="1" fillId="28" borderId="1" xfId="0" applyFont="1" applyFill="1" applyBorder="1"/>
    <xf numFmtId="9" fontId="1" fillId="19" borderId="1" xfId="1" applyFill="1" applyBorder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8" borderId="0" xfId="0" applyFont="1" applyFill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9" fillId="20" borderId="28" xfId="0" applyFont="1" applyFill="1" applyBorder="1" applyAlignment="1">
      <alignment horizontal="center" vertical="top" wrapText="1"/>
    </xf>
    <xf numFmtId="0" fontId="6" fillId="23" borderId="1" xfId="0" applyFont="1" applyFill="1" applyBorder="1" applyAlignment="1">
      <alignment horizontal="center" vertical="center"/>
    </xf>
    <xf numFmtId="0" fontId="1" fillId="0" borderId="0" xfId="0" applyFont="1"/>
    <xf numFmtId="0" fontId="18" fillId="0" borderId="9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" fillId="3" borderId="4" xfId="0" applyNumberFormat="1" applyFont="1" applyFill="1" applyBorder="1"/>
    <xf numFmtId="0" fontId="1" fillId="3" borderId="5" xfId="0" applyFont="1" applyFill="1" applyBorder="1"/>
    <xf numFmtId="0" fontId="1" fillId="0" borderId="11" xfId="0" applyFont="1" applyBorder="1"/>
    <xf numFmtId="0" fontId="1" fillId="23" borderId="0" xfId="0" applyFont="1" applyFill="1" applyAlignment="1">
      <alignment horizontal="left"/>
    </xf>
    <xf numFmtId="0" fontId="6" fillId="10" borderId="1" xfId="0" applyFont="1" applyFill="1" applyBorder="1" applyAlignment="1">
      <alignment horizontal="right" vertical="center" wrapText="1"/>
    </xf>
    <xf numFmtId="0" fontId="6" fillId="10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/>
    </xf>
    <xf numFmtId="0" fontId="4" fillId="7" borderId="3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2" fillId="34" borderId="1" xfId="0" applyFont="1" applyFill="1" applyBorder="1" applyAlignment="1">
      <alignment horizontal="center" vertical="center"/>
    </xf>
    <xf numFmtId="0" fontId="42" fillId="34" borderId="1" xfId="0" applyFont="1" applyFill="1" applyBorder="1" applyAlignment="1" applyProtection="1">
      <alignment horizontal="center" vertical="center" wrapText="1"/>
      <protection locked="0"/>
    </xf>
    <xf numFmtId="0" fontId="42" fillId="34" borderId="1" xfId="0" applyFont="1" applyFill="1" applyBorder="1" applyAlignment="1">
      <alignment horizontal="right" vertical="center"/>
    </xf>
    <xf numFmtId="0" fontId="42" fillId="34" borderId="1" xfId="0" applyFont="1" applyFill="1" applyBorder="1" applyAlignment="1" applyProtection="1">
      <alignment horizontal="right" vertical="center" wrapText="1"/>
      <protection locked="0"/>
    </xf>
    <xf numFmtId="0" fontId="40" fillId="35" borderId="1" xfId="0" applyFont="1" applyFill="1" applyBorder="1" applyAlignment="1">
      <alignment horizontal="left" vertical="center"/>
    </xf>
    <xf numFmtId="0" fontId="40" fillId="35" borderId="1" xfId="0" applyFont="1" applyFill="1" applyBorder="1" applyAlignment="1" applyProtection="1">
      <alignment horizontal="left" vertical="center" wrapText="1"/>
      <protection locked="0"/>
    </xf>
    <xf numFmtId="164" fontId="40" fillId="35" borderId="1" xfId="0" applyNumberFormat="1" applyFont="1" applyFill="1" applyBorder="1" applyAlignment="1">
      <alignment horizontal="right" vertical="center"/>
    </xf>
    <xf numFmtId="164" fontId="40" fillId="35" borderId="1" xfId="0" applyNumberFormat="1" applyFont="1" applyFill="1" applyBorder="1" applyAlignment="1" applyProtection="1">
      <alignment horizontal="right" vertical="center" wrapText="1"/>
      <protection locked="0"/>
    </xf>
    <xf numFmtId="0" fontId="42" fillId="34" borderId="34" xfId="0" applyFont="1" applyFill="1" applyBorder="1" applyAlignment="1">
      <alignment horizontal="center" vertical="center"/>
    </xf>
    <xf numFmtId="0" fontId="42" fillId="34" borderId="33" xfId="0" applyFont="1" applyFill="1" applyBorder="1" applyAlignment="1">
      <alignment horizontal="center" vertical="center"/>
    </xf>
    <xf numFmtId="0" fontId="42" fillId="34" borderId="36" xfId="0" applyFont="1" applyFill="1" applyBorder="1" applyAlignment="1">
      <alignment horizontal="center" vertical="center"/>
    </xf>
    <xf numFmtId="0" fontId="42" fillId="34" borderId="40" xfId="0" applyFont="1" applyFill="1" applyBorder="1" applyAlignment="1">
      <alignment horizontal="center" vertical="center"/>
    </xf>
    <xf numFmtId="0" fontId="41" fillId="3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2" fontId="40" fillId="35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</cellXfs>
  <cellStyles count="4">
    <cellStyle name="Hipervínculo" xfId="3" builtinId="8"/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C5DBF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Gastos de Servicios Básicos del 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Ejerc1!$E$6</c:f>
              <c:strCache>
                <c:ptCount val="1"/>
                <c:pt idx="0">
                  <c:v>Total por Trimestre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4C-45FE-9940-4830E96DF0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C-45FE-9940-4830E96DF0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C-45FE-9940-4830E96DF0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4C-45FE-9940-4830E96DF0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Ejerc1!$A$7:$A$10</c:f>
              <c:strCache>
                <c:ptCount val="4"/>
                <c:pt idx="0">
                  <c:v>Luz</c:v>
                </c:pt>
                <c:pt idx="1">
                  <c:v>Agua</c:v>
                </c:pt>
                <c:pt idx="2">
                  <c:v>Teléfono</c:v>
                </c:pt>
                <c:pt idx="3">
                  <c:v>Renta</c:v>
                </c:pt>
              </c:strCache>
            </c:strRef>
          </c:cat>
          <c:val>
            <c:numRef>
              <c:f>Ejerc1!$E$7:$E$10</c:f>
              <c:numCache>
                <c:formatCode>General</c:formatCode>
                <c:ptCount val="4"/>
                <c:pt idx="0">
                  <c:v>1000</c:v>
                </c:pt>
                <c:pt idx="1">
                  <c:v>305</c:v>
                </c:pt>
                <c:pt idx="2">
                  <c:v>1868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A-46FA-9C37-D30EA700D6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PAGO 
TOTAL A</a:t>
            </a:r>
            <a:r>
              <a:rPr lang="en-US" baseline="0"/>
              <a:t> GRUPOS</a:t>
            </a:r>
            <a:endParaRPr lang="en-US"/>
          </a:p>
        </c:rich>
      </c:tx>
      <c:layout>
        <c:manualLayout>
          <c:xMode val="edge"/>
          <c:yMode val="edge"/>
          <c:x val="0.41870258605138466"/>
          <c:y val="3.0403625514919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Ejerc2!$H$4</c:f>
              <c:strCache>
                <c:ptCount val="1"/>
                <c:pt idx="0">
                  <c:v>PAGO 
TRIMESTRAL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Ejerc2!$A$5:$A$9</c:f>
              <c:strCache>
                <c:ptCount val="5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</c:strCache>
            </c:strRef>
          </c:cat>
          <c:val>
            <c:numRef>
              <c:f>Ejerc2!$H$5:$H$9</c:f>
              <c:numCache>
                <c:formatCode>"$"#,##0.000</c:formatCode>
                <c:ptCount val="5"/>
                <c:pt idx="0">
                  <c:v>450000</c:v>
                </c:pt>
                <c:pt idx="1">
                  <c:v>620000</c:v>
                </c:pt>
                <c:pt idx="2">
                  <c:v>490000</c:v>
                </c:pt>
                <c:pt idx="3">
                  <c:v>495000</c:v>
                </c:pt>
                <c:pt idx="4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0-459A-AF0F-26E637EA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702504"/>
        <c:axId val="389703160"/>
      </c:barChart>
      <c:catAx>
        <c:axId val="38970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MODELO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703160"/>
        <c:crosses val="autoZero"/>
        <c:auto val="1"/>
        <c:lblAlgn val="ctr"/>
        <c:lblOffset val="100"/>
        <c:noMultiLvlLbl val="0"/>
      </c:catAx>
      <c:valAx>
        <c:axId val="3897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PAGO</a:t>
                </a:r>
                <a:r>
                  <a:rPr lang="es-MX" baseline="0"/>
                  <a:t> TRIMESTRAL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  <a:r>
              <a:rPr lang="es-MX" baseline="0"/>
              <a:t> DE CUMPLIDOS E INCUMPLIDOS</a:t>
            </a:r>
            <a:endParaRPr lang="es-MX"/>
          </a:p>
        </c:rich>
      </c:tx>
      <c:layout>
        <c:manualLayout>
          <c:xMode val="edge"/>
          <c:yMode val="edge"/>
          <c:x val="0.27481808935327601"/>
          <c:y val="2.77778076800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F6-4AD4-A430-B4398F41C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F6-4AD4-A430-B4398F41C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Ejerc2!$A$17:$A$18</c:f>
              <c:strCache>
                <c:ptCount val="2"/>
                <c:pt idx="0">
                  <c:v>TOTAL DE CUMPLIDOS</c:v>
                </c:pt>
                <c:pt idx="1">
                  <c:v>TOTAL DE INCUMPLIDOS</c:v>
                </c:pt>
              </c:strCache>
            </c:strRef>
          </c:cat>
          <c:val>
            <c:numRef>
              <c:f>Ejerc2!$B$17:$B$18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7-4BB0-A058-BE2F2F5E5F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F6-4AD4-A430-B4398F41C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F6-4AD4-A430-B4398F41C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F6-4AD4-A430-B4398F41C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F6-4AD4-A430-B4398F41C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F6-4AD4-A430-B4398F41C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F6-4AD4-A430-B4398F41C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Ejerc2!$A$17:$A$18</c:f>
              <c:strCache>
                <c:ptCount val="2"/>
                <c:pt idx="0">
                  <c:v>TOTAL DE CUMPLIDOS</c:v>
                </c:pt>
                <c:pt idx="1">
                  <c:v>TOTAL DE INCUMPLIDOS</c:v>
                </c:pt>
              </c:strCache>
            </c:strRef>
          </c:cat>
          <c:val>
            <c:numRef>
              <c:f>Ejerc2!$E$4:$E$9</c:f>
              <c:numCache>
                <c:formatCode>"$"#,##0.00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7-4BB0-A058-BE2F2F5E5F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F6-4AD4-A430-B4398F41C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F6-4AD4-A430-B4398F41C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F6-4AD4-A430-B4398F41C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F6-4AD4-A430-B4398F41C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4F6-4AD4-A430-B4398F41CB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4F6-4AD4-A430-B4398F41C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Ejerc2!$A$17:$A$18</c:f>
              <c:strCache>
                <c:ptCount val="2"/>
                <c:pt idx="0">
                  <c:v>TOTAL DE CUMPLIDOS</c:v>
                </c:pt>
                <c:pt idx="1">
                  <c:v>TOTAL DE INCUMPLIDOS</c:v>
                </c:pt>
              </c:strCache>
            </c:strRef>
          </c:cat>
          <c:val>
            <c:numRef>
              <c:f>Ejerc2!$F$4:$F$9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EB7-4BB0-A058-BE2F2F5E5F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345256016740153"/>
          <c:y val="0.91845649721406486"/>
          <c:w val="0.47374565498247784"/>
          <c:h val="5.7676284673481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SALARIO</a:t>
            </a:r>
            <a:r>
              <a:rPr lang="es-MX" baseline="0"/>
              <a:t> NETO DE EMPLEADOS DE "LA FAVORITA"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Ejerc3!$K$3</c:f>
              <c:strCache>
                <c:ptCount val="1"/>
                <c:pt idx="0">
                  <c:v>Salario
Neto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Ejerc3!$A$4:$A$10</c:f>
              <c:strCache>
                <c:ptCount val="7"/>
                <c:pt idx="0">
                  <c:v>CARLOS</c:v>
                </c:pt>
                <c:pt idx="1">
                  <c:v>JUVENTINO</c:v>
                </c:pt>
                <c:pt idx="2">
                  <c:v>OSWALDO</c:v>
                </c:pt>
                <c:pt idx="3">
                  <c:v>ANDREA</c:v>
                </c:pt>
                <c:pt idx="4">
                  <c:v>FABIOLA</c:v>
                </c:pt>
                <c:pt idx="5">
                  <c:v>ERANDENI</c:v>
                </c:pt>
                <c:pt idx="6">
                  <c:v>GUADALUPE</c:v>
                </c:pt>
              </c:strCache>
            </c:strRef>
          </c:cat>
          <c:val>
            <c:numRef>
              <c:f>Ejerc3!$K$4:$K$10</c:f>
              <c:numCache>
                <c:formatCode>"$"#,##0.00</c:formatCode>
                <c:ptCount val="7"/>
                <c:pt idx="0">
                  <c:v>7275</c:v>
                </c:pt>
                <c:pt idx="1">
                  <c:v>14025</c:v>
                </c:pt>
                <c:pt idx="2">
                  <c:v>10800</c:v>
                </c:pt>
                <c:pt idx="3">
                  <c:v>6790</c:v>
                </c:pt>
                <c:pt idx="4">
                  <c:v>12870</c:v>
                </c:pt>
                <c:pt idx="5">
                  <c:v>14025</c:v>
                </c:pt>
                <c:pt idx="6">
                  <c:v>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330-835D-D1DD6D385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672456"/>
        <c:axId val="399672784"/>
      </c:barChart>
      <c:catAx>
        <c:axId val="39967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EMPLEADOS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672784"/>
        <c:crosses val="autoZero"/>
        <c:auto val="1"/>
        <c:lblAlgn val="ctr"/>
        <c:lblOffset val="100"/>
        <c:noMultiLvlLbl val="0"/>
      </c:catAx>
      <c:valAx>
        <c:axId val="399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SALARIO NETO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6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Datos de importaciones contra exportaciones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Ejerc15!$A$9</c:f>
              <c:strCache>
                <c:ptCount val="1"/>
                <c:pt idx="0">
                  <c:v> Exportaciones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Ejerc15!$B$8:$D$8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cat>
          <c:val>
            <c:numRef>
              <c:f>Ejerc15!$B$9:$D$9</c:f>
              <c:numCache>
                <c:formatCode>#,##0</c:formatCode>
                <c:ptCount val="3"/>
                <c:pt idx="0">
                  <c:v>24247</c:v>
                </c:pt>
                <c:pt idx="1">
                  <c:v>27255</c:v>
                </c:pt>
                <c:pt idx="2">
                  <c:v>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3-489D-BC93-028694075E85}"/>
            </c:ext>
          </c:extLst>
        </c:ser>
        <c:ser>
          <c:idx val="1"/>
          <c:order val="1"/>
          <c:tx>
            <c:strRef>
              <c:f>Ejerc15!$A$11</c:f>
              <c:strCache>
                <c:ptCount val="1"/>
                <c:pt idx="0">
                  <c:v> Importaciones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Ejerc15!$B$8:$D$8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cat>
          <c:val>
            <c:numRef>
              <c:f>Ejerc15!$B$11:$D$11</c:f>
              <c:numCache>
                <c:formatCode>#,##0</c:formatCode>
                <c:ptCount val="3"/>
                <c:pt idx="0">
                  <c:v>29963</c:v>
                </c:pt>
                <c:pt idx="1">
                  <c:v>35390</c:v>
                </c:pt>
                <c:pt idx="2">
                  <c:v>51943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3-489D-BC93-028694075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376248"/>
        <c:axId val="564378544"/>
      </c:barChart>
      <c:catAx>
        <c:axId val="56437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78544"/>
        <c:crosses val="autoZero"/>
        <c:auto val="1"/>
        <c:lblAlgn val="ctr"/>
        <c:lblOffset val="100"/>
        <c:noMultiLvlLbl val="0"/>
      </c:catAx>
      <c:valAx>
        <c:axId val="564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Importaciones contra Exportaciones año 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B4-4C83-86E6-9AA21D22E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B4-4C83-86E6-9AA21D22E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(Ejerc15!$A$9,Ejerc15!$A$11)</c:f>
              <c:strCache>
                <c:ptCount val="2"/>
                <c:pt idx="0">
                  <c:v> Exportaciones  </c:v>
                </c:pt>
                <c:pt idx="1">
                  <c:v> Importaciones  </c:v>
                </c:pt>
              </c:strCache>
            </c:strRef>
          </c:cat>
          <c:val>
            <c:numRef>
              <c:f>(Ejerc15!$B$9,Ejerc15!$B$11)</c:f>
              <c:numCache>
                <c:formatCode>#,##0</c:formatCode>
                <c:ptCount val="2"/>
                <c:pt idx="0">
                  <c:v>24247</c:v>
                </c:pt>
                <c:pt idx="1">
                  <c:v>29963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1-4430-9956-67FDAEFDE3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24</xdr:row>
      <xdr:rowOff>47624</xdr:rowOff>
    </xdr:from>
    <xdr:to>
      <xdr:col>5</xdr:col>
      <xdr:colOff>958849</xdr:colOff>
      <xdr:row>45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BC45C-B883-4736-8C7F-7713F56FD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407456</xdr:colOff>
      <xdr:row>28</xdr:row>
      <xdr:rowOff>51857</xdr:rowOff>
    </xdr:from>
    <xdr:to>
      <xdr:col>6</xdr:col>
      <xdr:colOff>730249</xdr:colOff>
      <xdr:row>54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0E6F25-5239-4921-B8F6-E69E88097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513293</xdr:colOff>
      <xdr:row>56</xdr:row>
      <xdr:rowOff>83609</xdr:rowOff>
    </xdr:from>
    <xdr:to>
      <xdr:col>6</xdr:col>
      <xdr:colOff>737306</xdr:colOff>
      <xdr:row>79</xdr:row>
      <xdr:rowOff>148167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47937B-6289-4B1E-9DA3-0A86AEB1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1783290</xdr:colOff>
      <xdr:row>25</xdr:row>
      <xdr:rowOff>136524</xdr:rowOff>
    </xdr:from>
    <xdr:to>
      <xdr:col>9</xdr:col>
      <xdr:colOff>380999</xdr:colOff>
      <xdr:row>53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556163-E4E5-4A95-915C-0262C4F8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14</xdr:row>
      <xdr:rowOff>136075</xdr:rowOff>
    </xdr:from>
    <xdr:to>
      <xdr:col>4</xdr:col>
      <xdr:colOff>517072</xdr:colOff>
      <xdr:row>31</xdr:row>
      <xdr:rowOff>103418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7220C9-265B-4186-8F05-FA530E39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239486</xdr:colOff>
      <xdr:row>33</xdr:row>
      <xdr:rowOff>10887</xdr:rowOff>
    </xdr:from>
    <xdr:to>
      <xdr:col>4</xdr:col>
      <xdr:colOff>522515</xdr:colOff>
      <xdr:row>49</xdr:row>
      <xdr:rowOff>141516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71C58D-0EA8-4062-95C5-51F0A973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28"/>
  <sheetViews>
    <sheetView topLeftCell="A7" zoomScale="145" zoomScaleNormal="145" workbookViewId="0">
      <selection activeCell="A10" sqref="A10:L10"/>
    </sheetView>
  </sheetViews>
  <sheetFormatPr baseColWidth="10" defaultColWidth="11.42578125" defaultRowHeight="12.75"/>
  <cols>
    <col min="1" max="1" width="11.42578125" customWidth="1"/>
  </cols>
  <sheetData>
    <row r="1" spans="1:12" ht="18">
      <c r="A1" s="182" t="s">
        <v>0</v>
      </c>
      <c r="B1" s="182"/>
      <c r="C1" s="182"/>
    </row>
    <row r="2" spans="1:12">
      <c r="A2" s="106" t="s">
        <v>1</v>
      </c>
    </row>
    <row r="3" spans="1:12">
      <c r="A3" s="106" t="s">
        <v>2</v>
      </c>
    </row>
    <row r="4" spans="1:12">
      <c r="A4" s="106" t="s">
        <v>3</v>
      </c>
    </row>
    <row r="5" spans="1:12">
      <c r="A5" s="106" t="s">
        <v>4</v>
      </c>
    </row>
    <row r="7" spans="1:12">
      <c r="A7" s="28" t="s">
        <v>5</v>
      </c>
    </row>
    <row r="8" spans="1:12">
      <c r="A8" s="148"/>
    </row>
    <row r="9" spans="1:12">
      <c r="A9" s="148" t="s">
        <v>6</v>
      </c>
    </row>
    <row r="10" spans="1:12" ht="15.75">
      <c r="A10" s="183" t="s">
        <v>7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</row>
    <row r="11" spans="1:12" ht="15.75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81"/>
    </row>
    <row r="12" spans="1:12" ht="15.7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81"/>
    </row>
    <row r="13" spans="1:12">
      <c r="A13" s="148" t="s">
        <v>8</v>
      </c>
    </row>
    <row r="14" spans="1:12" ht="15">
      <c r="A14" s="184" t="s">
        <v>9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</row>
    <row r="15" spans="1:12">
      <c r="A15" s="185"/>
      <c r="B15" s="185"/>
      <c r="C15" s="185"/>
      <c r="D15" s="185"/>
      <c r="E15" s="185"/>
      <c r="F15" s="185"/>
      <c r="G15" s="185"/>
      <c r="H15" s="185"/>
      <c r="I15" s="185"/>
      <c r="J15" s="185"/>
    </row>
    <row r="16" spans="1:12">
      <c r="A16" s="148"/>
    </row>
    <row r="17" spans="1:13">
      <c r="A17" s="148" t="s">
        <v>10</v>
      </c>
    </row>
    <row r="18" spans="1:13">
      <c r="A18" s="148" t="s">
        <v>11</v>
      </c>
    </row>
    <row r="19" spans="1:13">
      <c r="A19" s="148"/>
    </row>
    <row r="20" spans="1:13">
      <c r="A20" s="148" t="s">
        <v>12</v>
      </c>
    </row>
    <row r="21" spans="1:13" ht="15">
      <c r="A21" s="180" t="s">
        <v>13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</row>
    <row r="22" spans="1:13" ht="15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</row>
    <row r="23" spans="1:13">
      <c r="A23" s="148"/>
    </row>
    <row r="24" spans="1:13">
      <c r="A24" s="148" t="s">
        <v>14</v>
      </c>
    </row>
    <row r="25" spans="1:13" ht="15">
      <c r="A25" s="180" t="s">
        <v>15</v>
      </c>
      <c r="B25" s="180"/>
      <c r="C25" s="180"/>
      <c r="D25" s="180"/>
      <c r="E25" s="180"/>
      <c r="F25" s="180"/>
      <c r="G25" s="180"/>
      <c r="H25" s="180"/>
    </row>
    <row r="26" spans="1:13">
      <c r="A26" s="148"/>
    </row>
    <row r="27" spans="1:13">
      <c r="A27" s="148" t="s">
        <v>16</v>
      </c>
    </row>
    <row r="28" spans="1:13">
      <c r="A28" s="181" t="s">
        <v>17</v>
      </c>
      <c r="B28" s="181"/>
      <c r="C28" s="181"/>
    </row>
  </sheetData>
  <mergeCells count="9">
    <mergeCell ref="A21:M21"/>
    <mergeCell ref="A22:M22"/>
    <mergeCell ref="A25:H25"/>
    <mergeCell ref="A28:C28"/>
    <mergeCell ref="A1:C1"/>
    <mergeCell ref="A10:L10"/>
    <mergeCell ref="A11:K11"/>
    <mergeCell ref="A14:K14"/>
    <mergeCell ref="A15:J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G15"/>
  <sheetViews>
    <sheetView zoomScale="175" zoomScaleNormal="175" workbookViewId="0">
      <selection activeCell="G3" sqref="G3"/>
    </sheetView>
  </sheetViews>
  <sheetFormatPr baseColWidth="10" defaultColWidth="11.42578125" defaultRowHeight="12.75"/>
  <cols>
    <col min="1" max="1" width="16.42578125" customWidth="1"/>
    <col min="2" max="2" width="16" customWidth="1"/>
    <col min="4" max="4" width="19.5703125" customWidth="1"/>
    <col min="5" max="5" width="15.85546875" customWidth="1"/>
    <col min="6" max="6" width="26.140625" customWidth="1"/>
    <col min="7" max="7" width="23" bestFit="1" customWidth="1"/>
  </cols>
  <sheetData>
    <row r="2" spans="1:7" ht="15.75">
      <c r="A2" s="16" t="s">
        <v>175</v>
      </c>
      <c r="B2" s="16" t="s">
        <v>70</v>
      </c>
      <c r="C2" s="16" t="s">
        <v>176</v>
      </c>
      <c r="D2" s="16" t="s">
        <v>177</v>
      </c>
      <c r="E2" s="16" t="s">
        <v>178</v>
      </c>
      <c r="F2" s="94" t="s">
        <v>179</v>
      </c>
      <c r="G2" s="94" t="s">
        <v>180</v>
      </c>
    </row>
    <row r="3" spans="1:7">
      <c r="A3" s="15">
        <v>1255</v>
      </c>
      <c r="B3" s="17" t="s">
        <v>181</v>
      </c>
      <c r="C3" s="15">
        <v>11</v>
      </c>
      <c r="D3" s="15">
        <v>0</v>
      </c>
      <c r="E3" s="17">
        <v>1</v>
      </c>
      <c r="F3" s="17" t="str">
        <f t="shared" ref="F3:F10" si="0">IF(D3&gt;2, IF(C3&gt;20,A3,""),"")</f>
        <v/>
      </c>
      <c r="G3" s="17" t="str">
        <f t="shared" ref="G3:G10" si="1">IF(AND(D3&gt;2,C3&gt;20),A3,"")</f>
        <v/>
      </c>
    </row>
    <row r="4" spans="1:7">
      <c r="A4" s="15">
        <v>2148</v>
      </c>
      <c r="B4" s="17" t="s">
        <v>182</v>
      </c>
      <c r="C4" s="15">
        <v>18</v>
      </c>
      <c r="D4" s="15">
        <v>0</v>
      </c>
      <c r="E4" s="17">
        <v>5</v>
      </c>
      <c r="F4" s="17" t="str">
        <f t="shared" si="0"/>
        <v/>
      </c>
      <c r="G4" s="17" t="str">
        <f t="shared" si="1"/>
        <v/>
      </c>
    </row>
    <row r="5" spans="1:7">
      <c r="A5" s="15">
        <v>2365</v>
      </c>
      <c r="B5" s="17" t="s">
        <v>183</v>
      </c>
      <c r="C5" s="15">
        <v>23</v>
      </c>
      <c r="D5" s="15">
        <v>1</v>
      </c>
      <c r="E5" s="17">
        <v>6</v>
      </c>
      <c r="F5" s="17" t="str">
        <f t="shared" si="0"/>
        <v/>
      </c>
      <c r="G5" s="17" t="str">
        <f t="shared" si="1"/>
        <v/>
      </c>
    </row>
    <row r="6" spans="1:7">
      <c r="A6" s="15">
        <v>3255</v>
      </c>
      <c r="B6" s="17" t="s">
        <v>184</v>
      </c>
      <c r="C6" s="15">
        <v>43</v>
      </c>
      <c r="D6" s="15">
        <v>5</v>
      </c>
      <c r="E6" s="17">
        <v>3</v>
      </c>
      <c r="F6" s="17">
        <f t="shared" si="0"/>
        <v>3255</v>
      </c>
      <c r="G6" s="17">
        <f t="shared" si="1"/>
        <v>3255</v>
      </c>
    </row>
    <row r="7" spans="1:7">
      <c r="A7" s="15">
        <v>3654</v>
      </c>
      <c r="B7" s="17" t="s">
        <v>185</v>
      </c>
      <c r="C7" s="15">
        <v>22</v>
      </c>
      <c r="D7" s="15">
        <v>0</v>
      </c>
      <c r="E7" s="17">
        <v>1</v>
      </c>
      <c r="F7" s="17" t="str">
        <f t="shared" si="0"/>
        <v/>
      </c>
      <c r="G7" s="17" t="str">
        <f t="shared" si="1"/>
        <v/>
      </c>
    </row>
    <row r="8" spans="1:7">
      <c r="A8" s="15">
        <v>4578</v>
      </c>
      <c r="B8" s="17" t="s">
        <v>186</v>
      </c>
      <c r="C8" s="15">
        <v>56</v>
      </c>
      <c r="D8" s="15">
        <v>3</v>
      </c>
      <c r="E8" s="17">
        <v>20</v>
      </c>
      <c r="F8" s="17">
        <f t="shared" si="0"/>
        <v>4578</v>
      </c>
      <c r="G8" s="17">
        <f t="shared" si="1"/>
        <v>4578</v>
      </c>
    </row>
    <row r="9" spans="1:7">
      <c r="A9" s="18">
        <v>5967</v>
      </c>
      <c r="B9" s="19" t="s">
        <v>187</v>
      </c>
      <c r="C9" s="18">
        <v>11</v>
      </c>
      <c r="D9" s="15">
        <v>1</v>
      </c>
      <c r="E9" s="17">
        <v>2</v>
      </c>
      <c r="F9" s="17" t="str">
        <f t="shared" si="0"/>
        <v/>
      </c>
      <c r="G9" s="17" t="str">
        <f t="shared" si="1"/>
        <v/>
      </c>
    </row>
    <row r="10" spans="1:7">
      <c r="A10" s="15">
        <v>6685</v>
      </c>
      <c r="B10" s="17" t="s">
        <v>188</v>
      </c>
      <c r="C10" s="15">
        <v>29</v>
      </c>
      <c r="D10" s="15">
        <v>1</v>
      </c>
      <c r="E10" s="17">
        <v>12</v>
      </c>
      <c r="F10" s="17" t="str">
        <f t="shared" si="0"/>
        <v/>
      </c>
      <c r="G10" s="17" t="str">
        <f t="shared" si="1"/>
        <v/>
      </c>
    </row>
    <row r="12" spans="1:7" ht="15">
      <c r="A12" s="20" t="s">
        <v>189</v>
      </c>
    </row>
    <row r="13" spans="1:7" ht="14.25">
      <c r="A13" s="21" t="s">
        <v>190</v>
      </c>
    </row>
    <row r="14" spans="1:7" ht="14.25">
      <c r="A14" s="21" t="s">
        <v>191</v>
      </c>
    </row>
    <row r="15" spans="1:7" ht="14.25">
      <c r="B15" s="21"/>
      <c r="C15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J22"/>
  <sheetViews>
    <sheetView zoomScale="160" zoomScaleNormal="160" workbookViewId="0">
      <selection activeCell="E5" sqref="E5"/>
    </sheetView>
  </sheetViews>
  <sheetFormatPr baseColWidth="10" defaultColWidth="11.42578125" defaultRowHeight="12.75"/>
  <cols>
    <col min="1" max="1" width="13.42578125" customWidth="1"/>
    <col min="2" max="2" width="13.28515625" customWidth="1"/>
    <col min="3" max="3" width="16.140625" customWidth="1"/>
    <col min="4" max="5" width="23.140625" customWidth="1"/>
    <col min="6" max="6" width="15.7109375" bestFit="1" customWidth="1"/>
    <col min="7" max="7" width="20.5703125" bestFit="1" customWidth="1"/>
    <col min="8" max="8" width="12.28515625" bestFit="1" customWidth="1"/>
    <col min="9" max="9" width="12.5703125" bestFit="1" customWidth="1"/>
  </cols>
  <sheetData>
    <row r="1" spans="1:10">
      <c r="A1" t="s">
        <v>192</v>
      </c>
    </row>
    <row r="2" spans="1:10">
      <c r="A2" t="s">
        <v>193</v>
      </c>
    </row>
    <row r="4" spans="1:10">
      <c r="A4" s="129" t="s">
        <v>194</v>
      </c>
      <c r="B4" s="129" t="s">
        <v>195</v>
      </c>
      <c r="C4" s="129" t="s">
        <v>196</v>
      </c>
      <c r="D4" s="130" t="s">
        <v>197</v>
      </c>
      <c r="E4" s="130" t="s">
        <v>198</v>
      </c>
      <c r="F4" s="134" t="s">
        <v>199</v>
      </c>
      <c r="G4" s="134" t="s">
        <v>200</v>
      </c>
      <c r="H4" s="134" t="s">
        <v>201</v>
      </c>
    </row>
    <row r="5" spans="1:10">
      <c r="A5" s="131" t="s">
        <v>202</v>
      </c>
      <c r="B5" s="131">
        <v>12568</v>
      </c>
      <c r="C5" s="131">
        <v>0.23</v>
      </c>
      <c r="D5" s="131" t="s">
        <v>203</v>
      </c>
      <c r="E5" s="131" t="str">
        <f>_xlfn.IFS(D5:D13="A","Máxima Precaución",D5:D13="B","Precaución moderada",D5:D13="C","Precaución de rutina")</f>
        <v>Máxima Precaución</v>
      </c>
      <c r="F5" s="132">
        <f>AVERAGE(C5:C13)</f>
        <v>0.42555555555555552</v>
      </c>
      <c r="G5" s="133">
        <f>COUNTIF(C5:C13,"&gt;0.43")</f>
        <v>0</v>
      </c>
      <c r="H5" s="133">
        <f>COUNTIF(D5:D13,"A")</f>
        <v>4</v>
      </c>
    </row>
    <row r="6" spans="1:10">
      <c r="A6" s="131" t="s">
        <v>204</v>
      </c>
      <c r="B6" s="131">
        <v>2356</v>
      </c>
      <c r="C6" s="131">
        <v>0.25</v>
      </c>
      <c r="D6" s="131" t="s">
        <v>205</v>
      </c>
      <c r="E6" s="131" t="str">
        <f t="shared" ref="E6:E13" si="0">_xlfn.IFS(D6:D14="A","Máxima Precaución",D6:D14="B","Precaución moderada",D6:D14="C","Precaución de rutina")</f>
        <v>Precaución moderada</v>
      </c>
    </row>
    <row r="7" spans="1:10">
      <c r="A7" s="131" t="s">
        <v>206</v>
      </c>
      <c r="B7" s="131">
        <v>4588</v>
      </c>
      <c r="C7" s="131">
        <v>0.36</v>
      </c>
      <c r="D7" s="131" t="s">
        <v>203</v>
      </c>
      <c r="E7" s="131" t="str">
        <f t="shared" si="0"/>
        <v>Máxima Precaución</v>
      </c>
    </row>
    <row r="8" spans="1:10">
      <c r="A8" s="131" t="s">
        <v>207</v>
      </c>
      <c r="B8" s="131">
        <v>9522</v>
      </c>
      <c r="C8" s="131">
        <v>0.14000000000000001</v>
      </c>
      <c r="D8" s="131" t="s">
        <v>208</v>
      </c>
      <c r="E8" s="131" t="str">
        <f t="shared" si="0"/>
        <v>Precaución de rutina</v>
      </c>
    </row>
    <row r="9" spans="1:10">
      <c r="A9" s="131" t="s">
        <v>209</v>
      </c>
      <c r="B9" s="131">
        <v>12544</v>
      </c>
      <c r="C9" s="131">
        <v>0.18</v>
      </c>
      <c r="D9" s="131" t="s">
        <v>203</v>
      </c>
      <c r="E9" s="131" t="str">
        <f t="shared" si="0"/>
        <v>Máxima Precaución</v>
      </c>
    </row>
    <row r="10" spans="1:10">
      <c r="A10" s="131" t="s">
        <v>210</v>
      </c>
      <c r="B10" s="131">
        <v>1020</v>
      </c>
      <c r="C10" s="131">
        <v>0.6</v>
      </c>
      <c r="D10" s="131" t="s">
        <v>208</v>
      </c>
      <c r="E10" s="131" t="str">
        <f t="shared" si="0"/>
        <v>Precaución de rutina</v>
      </c>
    </row>
    <row r="11" spans="1:10">
      <c r="A11" s="131" t="s">
        <v>211</v>
      </c>
      <c r="B11" s="131">
        <v>15402</v>
      </c>
      <c r="C11" s="131">
        <v>0.27</v>
      </c>
      <c r="D11" s="131" t="s">
        <v>203</v>
      </c>
      <c r="E11" s="131" t="str">
        <f t="shared" si="0"/>
        <v>Máxima Precaución</v>
      </c>
    </row>
    <row r="12" spans="1:10">
      <c r="A12" s="131" t="s">
        <v>212</v>
      </c>
      <c r="B12" s="131">
        <v>6598</v>
      </c>
      <c r="C12" s="131">
        <v>0.78</v>
      </c>
      <c r="D12" s="131" t="s">
        <v>205</v>
      </c>
      <c r="E12" s="131" t="str">
        <f t="shared" si="0"/>
        <v>Precaución moderada</v>
      </c>
    </row>
    <row r="13" spans="1:10">
      <c r="A13" s="131" t="s">
        <v>213</v>
      </c>
      <c r="B13" s="131">
        <v>8787</v>
      </c>
      <c r="C13" s="131">
        <v>1.02</v>
      </c>
      <c r="D13" s="131" t="s">
        <v>205</v>
      </c>
      <c r="E13" s="131" t="str">
        <f t="shared" si="0"/>
        <v>Precaución moderada</v>
      </c>
      <c r="H13" t="str">
        <f t="shared" ref="H13" si="1">IF(D13="A",B13,"")</f>
        <v/>
      </c>
    </row>
    <row r="14" spans="1:10">
      <c r="I14" t="s">
        <v>214</v>
      </c>
      <c r="J14">
        <f>SUM(B5:B13)</f>
        <v>73385</v>
      </c>
    </row>
    <row r="15" spans="1:10">
      <c r="A15" t="s">
        <v>215</v>
      </c>
    </row>
    <row r="16" spans="1:10">
      <c r="A16" t="s">
        <v>216</v>
      </c>
    </row>
    <row r="17" spans="1:2">
      <c r="A17" t="s">
        <v>217</v>
      </c>
    </row>
    <row r="18" spans="1:2">
      <c r="A18" t="s">
        <v>218</v>
      </c>
    </row>
    <row r="20" spans="1:2">
      <c r="B20" t="s">
        <v>219</v>
      </c>
    </row>
    <row r="21" spans="1:2">
      <c r="B21" t="s">
        <v>220</v>
      </c>
    </row>
    <row r="22" spans="1:2">
      <c r="B22" t="s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E17"/>
  <sheetViews>
    <sheetView zoomScale="175" zoomScaleNormal="175" workbookViewId="0">
      <selection activeCell="E2" sqref="E2"/>
    </sheetView>
  </sheetViews>
  <sheetFormatPr baseColWidth="10" defaultColWidth="11.42578125" defaultRowHeight="12.75"/>
  <cols>
    <col min="1" max="1" width="16.85546875" customWidth="1"/>
    <col min="2" max="2" width="19.42578125" customWidth="1"/>
    <col min="3" max="3" width="14.42578125" customWidth="1"/>
    <col min="4" max="4" width="18.5703125" customWidth="1"/>
    <col min="5" max="5" width="12.7109375" bestFit="1" customWidth="1"/>
  </cols>
  <sheetData>
    <row r="1" spans="1:5" ht="15.75">
      <c r="A1" s="135" t="s">
        <v>222</v>
      </c>
      <c r="B1" s="136" t="s">
        <v>223</v>
      </c>
      <c r="C1" s="136" t="s">
        <v>224</v>
      </c>
      <c r="D1" s="136" t="s">
        <v>225</v>
      </c>
      <c r="E1" s="136" t="s">
        <v>226</v>
      </c>
    </row>
    <row r="2" spans="1:5">
      <c r="A2" s="133" t="s">
        <v>227</v>
      </c>
      <c r="B2" s="133">
        <v>155000</v>
      </c>
      <c r="C2" s="133">
        <v>5000</v>
      </c>
      <c r="D2" s="133">
        <v>97</v>
      </c>
      <c r="E2" s="137" t="str">
        <f>IF(AND(B2&lt;40000,OR(C2&gt;4000,D2&gt;90)),"A",IF(AND(B2&gt;=40000,C2&gt;4500),"B","C"))</f>
        <v>B</v>
      </c>
    </row>
    <row r="3" spans="1:5">
      <c r="A3" s="133" t="s">
        <v>228</v>
      </c>
      <c r="B3" s="133">
        <v>182000</v>
      </c>
      <c r="C3" s="133">
        <v>3850</v>
      </c>
      <c r="D3" s="133">
        <v>85</v>
      </c>
      <c r="E3" s="137" t="str">
        <f t="shared" ref="E3:E11" si="0">IF(AND(B3&lt;40000,OR(C3&gt;4000,D3&gt;90)),"A",IF(AND(B3&gt;=40000,C3&gt;4500),"B","C"))</f>
        <v>C</v>
      </c>
    </row>
    <row r="4" spans="1:5">
      <c r="A4" s="133" t="s">
        <v>229</v>
      </c>
      <c r="B4" s="133">
        <v>36000</v>
      </c>
      <c r="C4" s="133">
        <v>4850</v>
      </c>
      <c r="D4" s="133">
        <v>94</v>
      </c>
      <c r="E4" s="137" t="str">
        <f t="shared" si="0"/>
        <v>A</v>
      </c>
    </row>
    <row r="5" spans="1:5">
      <c r="A5" s="133" t="s">
        <v>230</v>
      </c>
      <c r="B5" s="133">
        <v>21000</v>
      </c>
      <c r="C5" s="133">
        <v>4700</v>
      </c>
      <c r="D5" s="133">
        <v>97</v>
      </c>
      <c r="E5" s="137" t="str">
        <f t="shared" si="0"/>
        <v>A</v>
      </c>
    </row>
    <row r="6" spans="1:5">
      <c r="A6" s="133" t="s">
        <v>231</v>
      </c>
      <c r="B6" s="133">
        <v>29500</v>
      </c>
      <c r="C6" s="133">
        <v>2850</v>
      </c>
      <c r="D6" s="133">
        <v>80</v>
      </c>
      <c r="E6" s="137" t="str">
        <f t="shared" si="0"/>
        <v>C</v>
      </c>
    </row>
    <row r="7" spans="1:5">
      <c r="A7" s="133" t="s">
        <v>232</v>
      </c>
      <c r="B7" s="133">
        <v>32000</v>
      </c>
      <c r="C7" s="133">
        <v>2850</v>
      </c>
      <c r="D7" s="133">
        <v>80</v>
      </c>
      <c r="E7" s="137" t="str">
        <f t="shared" si="0"/>
        <v>C</v>
      </c>
    </row>
    <row r="8" spans="1:5">
      <c r="A8" s="133" t="s">
        <v>233</v>
      </c>
      <c r="B8" s="133">
        <v>45000</v>
      </c>
      <c r="C8" s="133">
        <v>3200</v>
      </c>
      <c r="D8" s="133">
        <v>85</v>
      </c>
      <c r="E8" s="137" t="str">
        <f t="shared" si="0"/>
        <v>C</v>
      </c>
    </row>
    <row r="9" spans="1:5">
      <c r="A9" s="133" t="s">
        <v>234</v>
      </c>
      <c r="B9" s="133">
        <v>56000</v>
      </c>
      <c r="C9" s="133">
        <v>3000</v>
      </c>
      <c r="D9" s="133">
        <v>83</v>
      </c>
      <c r="E9" s="137" t="str">
        <f t="shared" si="0"/>
        <v>C</v>
      </c>
    </row>
    <row r="10" spans="1:5">
      <c r="A10" s="133" t="s">
        <v>235</v>
      </c>
      <c r="B10" s="133">
        <v>88000</v>
      </c>
      <c r="C10" s="133">
        <v>4500</v>
      </c>
      <c r="D10" s="133">
        <v>89</v>
      </c>
      <c r="E10" s="137" t="str">
        <f t="shared" si="0"/>
        <v>C</v>
      </c>
    </row>
    <row r="11" spans="1:5">
      <c r="A11" s="133" t="s">
        <v>236</v>
      </c>
      <c r="B11" s="133">
        <v>100000</v>
      </c>
      <c r="C11" s="133">
        <v>3200</v>
      </c>
      <c r="D11" s="133">
        <v>80</v>
      </c>
      <c r="E11" s="137" t="str">
        <f t="shared" si="0"/>
        <v>C</v>
      </c>
    </row>
    <row r="13" spans="1:5" ht="15">
      <c r="A13" s="23" t="s">
        <v>237</v>
      </c>
    </row>
    <row r="14" spans="1:5" ht="18">
      <c r="A14" s="24" t="s">
        <v>238</v>
      </c>
    </row>
    <row r="15" spans="1:5">
      <c r="A15" t="s">
        <v>239</v>
      </c>
    </row>
    <row r="16" spans="1:5" ht="18">
      <c r="A16" s="24" t="s">
        <v>240</v>
      </c>
    </row>
    <row r="17" spans="1:1" ht="18">
      <c r="A17" s="24" t="s">
        <v>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G17"/>
  <sheetViews>
    <sheetView zoomScale="190" zoomScaleNormal="190" workbookViewId="0">
      <selection activeCell="C14" sqref="C14"/>
    </sheetView>
  </sheetViews>
  <sheetFormatPr baseColWidth="10" defaultColWidth="11.42578125" defaultRowHeight="12.75"/>
  <cols>
    <col min="1" max="1" width="16.140625" customWidth="1"/>
    <col min="2" max="2" width="15.42578125" customWidth="1"/>
    <col min="3" max="3" width="16.7109375" customWidth="1"/>
    <col min="4" max="4" width="15.140625" customWidth="1"/>
    <col min="5" max="5" width="15.28515625" customWidth="1"/>
  </cols>
  <sheetData>
    <row r="1" spans="1:7">
      <c r="A1" t="s">
        <v>242</v>
      </c>
    </row>
    <row r="2" spans="1:7">
      <c r="A2" t="s">
        <v>243</v>
      </c>
    </row>
    <row r="3" spans="1:7">
      <c r="A3" t="s">
        <v>244</v>
      </c>
    </row>
    <row r="5" spans="1:7">
      <c r="A5" s="98" t="s">
        <v>245</v>
      </c>
      <c r="B5" s="98" t="s">
        <v>246</v>
      </c>
      <c r="C5" s="98" t="s">
        <v>247</v>
      </c>
      <c r="D5" s="98" t="s">
        <v>248</v>
      </c>
      <c r="E5" s="98" t="s">
        <v>249</v>
      </c>
      <c r="F5" s="98" t="s">
        <v>250</v>
      </c>
      <c r="G5" s="98" t="s">
        <v>251</v>
      </c>
    </row>
    <row r="6" spans="1:7">
      <c r="A6" s="141" t="s">
        <v>252</v>
      </c>
      <c r="B6" s="99">
        <v>1500000</v>
      </c>
      <c r="C6" s="99">
        <v>2000000</v>
      </c>
      <c r="D6" s="99">
        <v>1850000</v>
      </c>
      <c r="E6" s="99">
        <v>2100000</v>
      </c>
      <c r="F6" s="138">
        <f>SUM(B6:E6)</f>
        <v>7450000</v>
      </c>
      <c r="G6" s="139">
        <f>AVERAGE(B6:E6)</f>
        <v>1862500</v>
      </c>
    </row>
    <row r="7" spans="1:7">
      <c r="A7" s="141" t="s">
        <v>253</v>
      </c>
      <c r="B7" s="99">
        <v>1200000</v>
      </c>
      <c r="C7" s="99">
        <v>1340000</v>
      </c>
      <c r="D7" s="99">
        <v>1750000</v>
      </c>
      <c r="E7" s="99">
        <v>1800000</v>
      </c>
      <c r="F7" s="138">
        <f t="shared" ref="F7:F9" si="0">SUM(B7:E7)</f>
        <v>6090000</v>
      </c>
      <c r="G7" s="139">
        <f t="shared" ref="G7:G9" si="1">AVERAGE(B7:E7)</f>
        <v>1522500</v>
      </c>
    </row>
    <row r="8" spans="1:7">
      <c r="A8" s="141" t="s">
        <v>254</v>
      </c>
      <c r="B8" s="99">
        <v>1460000</v>
      </c>
      <c r="C8" s="99">
        <v>1700000</v>
      </c>
      <c r="D8" s="99">
        <v>1900000</v>
      </c>
      <c r="E8" s="99">
        <v>2000000</v>
      </c>
      <c r="F8" s="138">
        <f t="shared" si="0"/>
        <v>7060000</v>
      </c>
      <c r="G8" s="139">
        <f t="shared" si="1"/>
        <v>1765000</v>
      </c>
    </row>
    <row r="9" spans="1:7">
      <c r="A9" s="141" t="s">
        <v>255</v>
      </c>
      <c r="B9" s="99">
        <v>1100000</v>
      </c>
      <c r="C9" s="99">
        <v>1600000</v>
      </c>
      <c r="D9" s="99">
        <v>1640000</v>
      </c>
      <c r="E9" s="99">
        <v>1700000</v>
      </c>
      <c r="F9" s="138">
        <f t="shared" si="0"/>
        <v>6040000</v>
      </c>
      <c r="G9" s="139">
        <f t="shared" si="1"/>
        <v>1510000</v>
      </c>
    </row>
    <row r="10" spans="1:7">
      <c r="A10" s="98" t="s">
        <v>256</v>
      </c>
      <c r="B10" s="140">
        <f>SUM(B6:B9)</f>
        <v>5260000</v>
      </c>
      <c r="C10" s="140">
        <f t="shared" ref="C10:E10" si="2">SUM(C6:C9)</f>
        <v>6640000</v>
      </c>
      <c r="D10" s="140">
        <f t="shared" si="2"/>
        <v>7140000</v>
      </c>
      <c r="E10" s="140">
        <f t="shared" si="2"/>
        <v>7600000</v>
      </c>
    </row>
    <row r="11" spans="1:7">
      <c r="A11" s="98" t="s">
        <v>257</v>
      </c>
      <c r="B11" s="139">
        <f>AVERAGE(B6:B9)</f>
        <v>1315000</v>
      </c>
      <c r="C11" s="139">
        <f t="shared" ref="C11:E11" si="3">AVERAGE(C6:C9)</f>
        <v>1660000</v>
      </c>
      <c r="D11" s="139">
        <f t="shared" si="3"/>
        <v>1785000</v>
      </c>
      <c r="E11" s="139">
        <f t="shared" si="3"/>
        <v>1900000</v>
      </c>
    </row>
    <row r="13" spans="1:7">
      <c r="A13" s="11" t="s">
        <v>258</v>
      </c>
      <c r="F13" s="97"/>
    </row>
    <row r="14" spans="1:7">
      <c r="A14" t="s">
        <v>259</v>
      </c>
    </row>
    <row r="15" spans="1:7">
      <c r="A15" s="106" t="s">
        <v>260</v>
      </c>
    </row>
    <row r="16" spans="1:7">
      <c r="A16" t="s">
        <v>261</v>
      </c>
    </row>
    <row r="17" spans="1:1">
      <c r="A17" t="s">
        <v>262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F15"/>
  <sheetViews>
    <sheetView zoomScale="190" zoomScaleNormal="190" workbookViewId="0">
      <selection activeCell="D12" sqref="D12:E12"/>
    </sheetView>
  </sheetViews>
  <sheetFormatPr baseColWidth="10" defaultColWidth="11.42578125" defaultRowHeight="12.75"/>
  <cols>
    <col min="1" max="1" width="21.42578125" customWidth="1"/>
  </cols>
  <sheetData>
    <row r="1" spans="1:6">
      <c r="A1" t="s">
        <v>263</v>
      </c>
    </row>
    <row r="2" spans="1:6">
      <c r="A2" t="s">
        <v>264</v>
      </c>
    </row>
    <row r="3" spans="1:6">
      <c r="A3" t="s">
        <v>265</v>
      </c>
    </row>
    <row r="4" spans="1:6">
      <c r="D4" s="106"/>
      <c r="E4" s="106"/>
      <c r="F4" s="106"/>
    </row>
    <row r="5" spans="1:6">
      <c r="A5" s="173" t="s">
        <v>266</v>
      </c>
      <c r="B5" s="173" t="s">
        <v>267</v>
      </c>
      <c r="C5" s="173" t="s">
        <v>268</v>
      </c>
      <c r="D5" s="174" t="s">
        <v>269</v>
      </c>
      <c r="E5" s="175" t="s">
        <v>270</v>
      </c>
    </row>
    <row r="6" spans="1:6">
      <c r="A6" s="176" t="s">
        <v>271</v>
      </c>
      <c r="B6" s="155">
        <v>2600</v>
      </c>
      <c r="C6" s="155">
        <v>2</v>
      </c>
      <c r="D6" s="156">
        <f>B6*C6</f>
        <v>5200</v>
      </c>
      <c r="E6" s="157">
        <f>D6+(D6*$B$15)</f>
        <v>6032</v>
      </c>
    </row>
    <row r="7" spans="1:6">
      <c r="A7" s="177" t="s">
        <v>272</v>
      </c>
      <c r="B7" s="158">
        <v>3100</v>
      </c>
      <c r="C7" s="158">
        <v>4</v>
      </c>
      <c r="D7" s="159">
        <f t="shared" ref="D7:D10" si="0">B7*C7</f>
        <v>12400</v>
      </c>
      <c r="E7" s="160">
        <f t="shared" ref="E7:E10" si="1">D7+(D7*$B$15)</f>
        <v>14384</v>
      </c>
    </row>
    <row r="8" spans="1:6">
      <c r="A8" s="176" t="s">
        <v>273</v>
      </c>
      <c r="B8" s="155">
        <v>1850</v>
      </c>
      <c r="C8" s="155">
        <v>4</v>
      </c>
      <c r="D8" s="156">
        <f t="shared" si="0"/>
        <v>7400</v>
      </c>
      <c r="E8" s="157">
        <f t="shared" si="1"/>
        <v>8584</v>
      </c>
    </row>
    <row r="9" spans="1:6">
      <c r="A9" s="177" t="s">
        <v>274</v>
      </c>
      <c r="B9" s="158">
        <v>300</v>
      </c>
      <c r="C9" s="158">
        <v>4</v>
      </c>
      <c r="D9" s="159">
        <f t="shared" si="0"/>
        <v>1200</v>
      </c>
      <c r="E9" s="160">
        <f t="shared" si="1"/>
        <v>1392</v>
      </c>
    </row>
    <row r="10" spans="1:6">
      <c r="A10" s="176" t="s">
        <v>275</v>
      </c>
      <c r="B10" s="155">
        <v>550</v>
      </c>
      <c r="C10" s="155">
        <v>4</v>
      </c>
      <c r="D10" s="156">
        <f t="shared" si="0"/>
        <v>2200</v>
      </c>
      <c r="E10" s="157">
        <f t="shared" si="1"/>
        <v>2552</v>
      </c>
    </row>
    <row r="12" spans="1:6">
      <c r="C12" s="161" t="s">
        <v>88</v>
      </c>
      <c r="D12" s="163">
        <f>SUM(D6:D10)</f>
        <v>28400</v>
      </c>
      <c r="E12" s="164">
        <f t="shared" ref="E12" si="2">SUM(E6:E10)</f>
        <v>32944</v>
      </c>
    </row>
    <row r="15" spans="1:6">
      <c r="A15" s="175" t="s">
        <v>276</v>
      </c>
      <c r="B15" s="162">
        <v>0.16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G20"/>
  <sheetViews>
    <sheetView zoomScale="175" zoomScaleNormal="175" workbookViewId="0">
      <selection activeCell="F27" sqref="F27"/>
    </sheetView>
  </sheetViews>
  <sheetFormatPr baseColWidth="10" defaultColWidth="11.42578125" defaultRowHeight="12.75"/>
  <cols>
    <col min="1" max="1" width="16.5703125" customWidth="1"/>
    <col min="2" max="2" width="14.28515625" bestFit="1" customWidth="1"/>
    <col min="3" max="3" width="12.85546875" bestFit="1" customWidth="1"/>
    <col min="4" max="4" width="11.7109375" bestFit="1" customWidth="1"/>
    <col min="5" max="5" width="12.85546875" bestFit="1" customWidth="1"/>
    <col min="6" max="6" width="14.42578125" customWidth="1"/>
  </cols>
  <sheetData>
    <row r="1" spans="1:7">
      <c r="A1" t="s">
        <v>277</v>
      </c>
    </row>
    <row r="2" spans="1:7">
      <c r="A2" t="s">
        <v>278</v>
      </c>
    </row>
    <row r="3" spans="1:7">
      <c r="A3" t="s">
        <v>279</v>
      </c>
    </row>
    <row r="5" spans="1:7">
      <c r="A5" s="26" t="s">
        <v>280</v>
      </c>
      <c r="B5" s="27">
        <v>0.02</v>
      </c>
    </row>
    <row r="7" spans="1:7">
      <c r="A7" s="142" t="s">
        <v>281</v>
      </c>
      <c r="B7" s="142" t="s">
        <v>100</v>
      </c>
      <c r="C7" s="178" t="s">
        <v>282</v>
      </c>
      <c r="D7" s="178" t="s">
        <v>283</v>
      </c>
      <c r="E7" s="178" t="s">
        <v>284</v>
      </c>
      <c r="F7" s="142" t="s">
        <v>285</v>
      </c>
    </row>
    <row r="8" spans="1:7">
      <c r="A8" s="143" t="s">
        <v>286</v>
      </c>
      <c r="B8" s="144">
        <v>4600000</v>
      </c>
      <c r="C8" s="144">
        <f>B8*$B$5</f>
        <v>92000</v>
      </c>
      <c r="D8" s="144">
        <v>90000</v>
      </c>
      <c r="E8" s="145">
        <f>SUM(C8:D8)</f>
        <v>182000</v>
      </c>
      <c r="F8" s="146">
        <f>(D8)/E8</f>
        <v>0.49450549450549453</v>
      </c>
      <c r="G8" s="25"/>
    </row>
    <row r="9" spans="1:7">
      <c r="A9" s="143" t="s">
        <v>287</v>
      </c>
      <c r="B9" s="144">
        <v>6000000</v>
      </c>
      <c r="C9" s="144">
        <f t="shared" ref="C9:C20" si="0">B9*$B$5</f>
        <v>120000</v>
      </c>
      <c r="D9" s="144">
        <v>90000</v>
      </c>
      <c r="E9" s="145">
        <f t="shared" ref="E9:E20" si="1">SUM(C9:D9)</f>
        <v>210000</v>
      </c>
      <c r="F9" s="146">
        <f t="shared" ref="F9:F20" si="2">(D9)/E9</f>
        <v>0.42857142857142855</v>
      </c>
      <c r="G9" s="25"/>
    </row>
    <row r="10" spans="1:7">
      <c r="A10" s="143" t="s">
        <v>288</v>
      </c>
      <c r="B10" s="144">
        <v>3900000</v>
      </c>
      <c r="C10" s="144">
        <f t="shared" si="0"/>
        <v>78000</v>
      </c>
      <c r="D10" s="144">
        <v>90000</v>
      </c>
      <c r="E10" s="145">
        <f t="shared" si="1"/>
        <v>168000</v>
      </c>
      <c r="F10" s="146">
        <f t="shared" si="2"/>
        <v>0.5357142857142857</v>
      </c>
      <c r="G10" s="25"/>
    </row>
    <row r="11" spans="1:7">
      <c r="A11" s="143" t="s">
        <v>289</v>
      </c>
      <c r="B11" s="144">
        <v>7600000</v>
      </c>
      <c r="C11" s="144">
        <f t="shared" si="0"/>
        <v>152000</v>
      </c>
      <c r="D11" s="144">
        <v>90000</v>
      </c>
      <c r="E11" s="145">
        <f t="shared" si="1"/>
        <v>242000</v>
      </c>
      <c r="F11" s="146">
        <f t="shared" si="2"/>
        <v>0.37190082644628097</v>
      </c>
      <c r="G11" s="25"/>
    </row>
    <row r="12" spans="1:7">
      <c r="A12" s="143" t="s">
        <v>290</v>
      </c>
      <c r="B12" s="144">
        <v>8250000</v>
      </c>
      <c r="C12" s="144">
        <f t="shared" si="0"/>
        <v>165000</v>
      </c>
      <c r="D12" s="144">
        <v>90000</v>
      </c>
      <c r="E12" s="145">
        <f t="shared" si="1"/>
        <v>255000</v>
      </c>
      <c r="F12" s="146">
        <f t="shared" si="2"/>
        <v>0.35294117647058826</v>
      </c>
      <c r="G12" s="25"/>
    </row>
    <row r="13" spans="1:7">
      <c r="A13" s="143" t="s">
        <v>291</v>
      </c>
      <c r="B13" s="144">
        <v>3500000</v>
      </c>
      <c r="C13" s="144">
        <f t="shared" si="0"/>
        <v>70000</v>
      </c>
      <c r="D13" s="144">
        <v>90000</v>
      </c>
      <c r="E13" s="145">
        <f t="shared" si="1"/>
        <v>160000</v>
      </c>
      <c r="F13" s="146">
        <f t="shared" si="2"/>
        <v>0.5625</v>
      </c>
      <c r="G13" s="25"/>
    </row>
    <row r="14" spans="1:7">
      <c r="A14" s="143" t="s">
        <v>292</v>
      </c>
      <c r="B14" s="144">
        <v>5350000</v>
      </c>
      <c r="C14" s="144">
        <f t="shared" si="0"/>
        <v>107000</v>
      </c>
      <c r="D14" s="144">
        <v>90000</v>
      </c>
      <c r="E14" s="145">
        <f t="shared" si="1"/>
        <v>197000</v>
      </c>
      <c r="F14" s="146">
        <f t="shared" si="2"/>
        <v>0.45685279187817257</v>
      </c>
      <c r="G14" s="25"/>
    </row>
    <row r="15" spans="1:7">
      <c r="A15" s="143" t="s">
        <v>293</v>
      </c>
      <c r="B15" s="144">
        <v>4200000</v>
      </c>
      <c r="C15" s="144">
        <f t="shared" si="0"/>
        <v>84000</v>
      </c>
      <c r="D15" s="144">
        <v>90000</v>
      </c>
      <c r="E15" s="145">
        <f t="shared" si="1"/>
        <v>174000</v>
      </c>
      <c r="F15" s="146">
        <f t="shared" si="2"/>
        <v>0.51724137931034486</v>
      </c>
      <c r="G15" s="25"/>
    </row>
    <row r="16" spans="1:7">
      <c r="A16" s="143" t="s">
        <v>294</v>
      </c>
      <c r="B16" s="144">
        <v>7900000</v>
      </c>
      <c r="C16" s="144">
        <f t="shared" si="0"/>
        <v>158000</v>
      </c>
      <c r="D16" s="144">
        <v>90000</v>
      </c>
      <c r="E16" s="145">
        <f t="shared" si="1"/>
        <v>248000</v>
      </c>
      <c r="F16" s="146">
        <f t="shared" si="2"/>
        <v>0.36290322580645162</v>
      </c>
      <c r="G16" s="25"/>
    </row>
    <row r="17" spans="1:7">
      <c r="A17" s="143" t="s">
        <v>295</v>
      </c>
      <c r="B17" s="144">
        <v>6780000</v>
      </c>
      <c r="C17" s="144">
        <f t="shared" si="0"/>
        <v>135600</v>
      </c>
      <c r="D17" s="144">
        <v>90000</v>
      </c>
      <c r="E17" s="145">
        <f t="shared" si="1"/>
        <v>225600</v>
      </c>
      <c r="F17" s="146">
        <f t="shared" si="2"/>
        <v>0.39893617021276595</v>
      </c>
      <c r="G17" s="25"/>
    </row>
    <row r="18" spans="1:7">
      <c r="A18" s="143" t="s">
        <v>296</v>
      </c>
      <c r="B18" s="144">
        <v>4690000</v>
      </c>
      <c r="C18" s="144">
        <f t="shared" si="0"/>
        <v>93800</v>
      </c>
      <c r="D18" s="144">
        <v>90000</v>
      </c>
      <c r="E18" s="145">
        <f t="shared" si="1"/>
        <v>183800</v>
      </c>
      <c r="F18" s="146">
        <f t="shared" si="2"/>
        <v>0.48966267682263331</v>
      </c>
      <c r="G18" s="25"/>
    </row>
    <row r="19" spans="1:7">
      <c r="A19" s="143" t="s">
        <v>297</v>
      </c>
      <c r="B19" s="144">
        <v>3000000</v>
      </c>
      <c r="C19" s="144">
        <f t="shared" si="0"/>
        <v>60000</v>
      </c>
      <c r="D19" s="144">
        <v>90000</v>
      </c>
      <c r="E19" s="145">
        <f t="shared" si="1"/>
        <v>150000</v>
      </c>
      <c r="F19" s="146">
        <f t="shared" si="2"/>
        <v>0.6</v>
      </c>
      <c r="G19" s="25"/>
    </row>
    <row r="20" spans="1:7">
      <c r="A20" s="143" t="s">
        <v>298</v>
      </c>
      <c r="B20" s="144">
        <v>3100000</v>
      </c>
      <c r="C20" s="144">
        <f t="shared" si="0"/>
        <v>62000</v>
      </c>
      <c r="D20" s="144">
        <v>90000</v>
      </c>
      <c r="E20" s="145">
        <f t="shared" si="1"/>
        <v>152000</v>
      </c>
      <c r="F20" s="146">
        <f t="shared" si="2"/>
        <v>0.59210526315789469</v>
      </c>
      <c r="G20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F14"/>
  <sheetViews>
    <sheetView zoomScale="175" zoomScaleNormal="175" workbookViewId="0">
      <selection activeCell="G36" sqref="G36"/>
    </sheetView>
  </sheetViews>
  <sheetFormatPr baseColWidth="10" defaultColWidth="11.42578125" defaultRowHeight="12.75"/>
  <cols>
    <col min="1" max="1" width="30" customWidth="1"/>
  </cols>
  <sheetData>
    <row r="1" spans="1:6">
      <c r="A1" s="106" t="s">
        <v>299</v>
      </c>
    </row>
    <row r="3" spans="1:6">
      <c r="A3" t="s">
        <v>300</v>
      </c>
    </row>
    <row r="4" spans="1:6">
      <c r="A4" s="106" t="s">
        <v>301</v>
      </c>
    </row>
    <row r="5" spans="1:6">
      <c r="A5" s="106" t="s">
        <v>302</v>
      </c>
    </row>
    <row r="6" spans="1:6">
      <c r="A6" s="106" t="s">
        <v>303</v>
      </c>
    </row>
    <row r="8" spans="1:6">
      <c r="A8" s="100" t="s">
        <v>304</v>
      </c>
      <c r="B8" s="100">
        <v>1998</v>
      </c>
      <c r="C8" s="100">
        <v>1999</v>
      </c>
      <c r="D8" s="100">
        <v>2000</v>
      </c>
      <c r="E8" s="100" t="s">
        <v>305</v>
      </c>
    </row>
    <row r="9" spans="1:6">
      <c r="A9" s="101" t="s">
        <v>306</v>
      </c>
      <c r="B9" s="102">
        <v>24247</v>
      </c>
      <c r="C9" s="102">
        <v>27255</v>
      </c>
      <c r="D9" s="102">
        <v>36153</v>
      </c>
      <c r="E9" s="102">
        <f>SUM(B9:D9)</f>
        <v>87655</v>
      </c>
    </row>
    <row r="10" spans="1:6">
      <c r="A10" s="103" t="s">
        <v>307</v>
      </c>
      <c r="B10" s="179">
        <f>B9/$E$9</f>
        <v>0.27661856140551022</v>
      </c>
      <c r="C10" s="179">
        <f t="shared" ref="C10:E10" si="0">C9/$E$9</f>
        <v>0.31093491529290973</v>
      </c>
      <c r="D10" s="179">
        <f t="shared" si="0"/>
        <v>0.41244652330158005</v>
      </c>
      <c r="E10" s="179">
        <f t="shared" si="0"/>
        <v>1</v>
      </c>
      <c r="F10" s="106" t="s">
        <v>308</v>
      </c>
    </row>
    <row r="11" spans="1:6">
      <c r="A11" s="101" t="s">
        <v>309</v>
      </c>
      <c r="B11" s="102">
        <v>29963</v>
      </c>
      <c r="C11" s="102">
        <v>35390</v>
      </c>
      <c r="D11" s="102">
        <v>51943</v>
      </c>
      <c r="E11" s="102">
        <f>SUM(B11:D11)</f>
        <v>117296</v>
      </c>
    </row>
    <row r="12" spans="1:6">
      <c r="A12" s="103" t="s">
        <v>307</v>
      </c>
      <c r="B12" s="179">
        <f>B11/$E$11</f>
        <v>0.255447756104215</v>
      </c>
      <c r="C12" s="179">
        <f t="shared" ref="C12:E12" si="1">C11/$E$11</f>
        <v>0.30171531851043515</v>
      </c>
      <c r="D12" s="179">
        <f t="shared" si="1"/>
        <v>0.44283692538534991</v>
      </c>
      <c r="E12" s="179">
        <f t="shared" si="1"/>
        <v>1</v>
      </c>
      <c r="F12" s="106" t="s">
        <v>310</v>
      </c>
    </row>
    <row r="13" spans="1:6">
      <c r="A13" s="104" t="s">
        <v>311</v>
      </c>
      <c r="B13" s="105">
        <f>B11/B9</f>
        <v>1.2357405039798739</v>
      </c>
      <c r="C13" s="105">
        <f t="shared" ref="C13:E13" si="2">C11/C9</f>
        <v>1.2984773436066777</v>
      </c>
      <c r="D13" s="105">
        <f t="shared" si="2"/>
        <v>1.4367549027743203</v>
      </c>
      <c r="E13" s="105">
        <f t="shared" si="2"/>
        <v>1.3381552678113058</v>
      </c>
    </row>
    <row r="14" spans="1:6">
      <c r="A14" s="107" t="s">
        <v>312</v>
      </c>
      <c r="B14" s="108">
        <f>B9+B11</f>
        <v>54210</v>
      </c>
      <c r="C14" s="108">
        <f t="shared" ref="C14:D14" si="3">C9+C11</f>
        <v>62645</v>
      </c>
      <c r="D14" s="108">
        <f t="shared" si="3"/>
        <v>88096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2:J127"/>
  <sheetViews>
    <sheetView tabSelected="1" workbookViewId="0">
      <selection activeCell="N12" sqref="N12"/>
    </sheetView>
  </sheetViews>
  <sheetFormatPr baseColWidth="10" defaultColWidth="11.42578125" defaultRowHeight="12.75"/>
  <cols>
    <col min="8" max="8" width="8.5703125" customWidth="1"/>
    <col min="9" max="9" width="21" bestFit="1" customWidth="1"/>
    <col min="10" max="10" width="17.5703125" customWidth="1"/>
  </cols>
  <sheetData>
    <row r="2" spans="1:10">
      <c r="A2" s="238" t="s">
        <v>313</v>
      </c>
      <c r="B2" s="238"/>
      <c r="C2" s="238"/>
      <c r="D2" s="238"/>
      <c r="E2" s="238"/>
      <c r="F2" s="238"/>
      <c r="G2" s="238"/>
      <c r="H2" s="238"/>
      <c r="I2" s="238"/>
      <c r="J2" s="238"/>
    </row>
    <row r="3" spans="1:10">
      <c r="A3" s="238"/>
      <c r="B3" s="238"/>
      <c r="C3" s="238"/>
      <c r="D3" s="238"/>
      <c r="E3" s="238"/>
      <c r="F3" s="238"/>
      <c r="G3" s="238"/>
      <c r="H3" s="238"/>
      <c r="I3" s="238"/>
      <c r="J3" s="238"/>
    </row>
    <row r="5" spans="1:10">
      <c r="A5" s="231" t="s">
        <v>314</v>
      </c>
      <c r="B5" s="232"/>
      <c r="C5" s="223" t="s">
        <v>315</v>
      </c>
      <c r="D5" s="224"/>
      <c r="E5" s="224"/>
      <c r="F5" s="224"/>
      <c r="G5" s="225" t="s">
        <v>316</v>
      </c>
      <c r="H5" s="226"/>
      <c r="I5" s="225" t="s">
        <v>317</v>
      </c>
      <c r="J5" s="225" t="s">
        <v>318</v>
      </c>
    </row>
    <row r="6" spans="1:10">
      <c r="A6" s="233"/>
      <c r="B6" s="234"/>
      <c r="C6" s="224"/>
      <c r="D6" s="224"/>
      <c r="E6" s="224"/>
      <c r="F6" s="224"/>
      <c r="G6" s="226"/>
      <c r="H6" s="226"/>
      <c r="I6" s="226"/>
      <c r="J6" s="226"/>
    </row>
    <row r="7" spans="1:10">
      <c r="A7" s="227" t="s">
        <v>319</v>
      </c>
      <c r="B7" s="228"/>
      <c r="C7" s="227" t="s">
        <v>320</v>
      </c>
      <c r="D7" s="228"/>
      <c r="E7" s="228"/>
      <c r="F7" s="228"/>
      <c r="G7" s="229" t="s">
        <v>321</v>
      </c>
      <c r="H7" s="230"/>
      <c r="I7" s="237">
        <v>2</v>
      </c>
      <c r="J7" s="165">
        <f>G7*I7</f>
        <v>798</v>
      </c>
    </row>
    <row r="8" spans="1:10">
      <c r="A8" s="227" t="s">
        <v>322</v>
      </c>
      <c r="B8" s="228"/>
      <c r="C8" s="227" t="s">
        <v>323</v>
      </c>
      <c r="D8" s="228"/>
      <c r="E8" s="228"/>
      <c r="F8" s="228"/>
      <c r="G8" s="229" t="s">
        <v>324</v>
      </c>
      <c r="H8" s="230"/>
      <c r="I8" s="237">
        <v>2</v>
      </c>
      <c r="J8" s="165">
        <f t="shared" ref="J8:J71" si="0">G8*I8</f>
        <v>370</v>
      </c>
    </row>
    <row r="9" spans="1:10">
      <c r="A9" s="227" t="s">
        <v>325</v>
      </c>
      <c r="B9" s="228"/>
      <c r="C9" s="227" t="s">
        <v>326</v>
      </c>
      <c r="D9" s="228"/>
      <c r="E9" s="228"/>
      <c r="F9" s="228"/>
      <c r="G9" s="229" t="s">
        <v>327</v>
      </c>
      <c r="H9" s="230"/>
      <c r="I9" s="237">
        <v>1</v>
      </c>
      <c r="J9" s="165">
        <f t="shared" si="0"/>
        <v>200</v>
      </c>
    </row>
    <row r="10" spans="1:10">
      <c r="A10" s="227" t="s">
        <v>328</v>
      </c>
      <c r="B10" s="228"/>
      <c r="C10" s="227" t="s">
        <v>329</v>
      </c>
      <c r="D10" s="228"/>
      <c r="E10" s="228"/>
      <c r="F10" s="228"/>
      <c r="G10" s="229" t="s">
        <v>330</v>
      </c>
      <c r="H10" s="230"/>
      <c r="I10" s="237">
        <v>2</v>
      </c>
      <c r="J10" s="165">
        <f t="shared" si="0"/>
        <v>420</v>
      </c>
    </row>
    <row r="11" spans="1:10">
      <c r="A11" s="227" t="s">
        <v>331</v>
      </c>
      <c r="B11" s="228"/>
      <c r="C11" s="227" t="s">
        <v>332</v>
      </c>
      <c r="D11" s="228"/>
      <c r="E11" s="228"/>
      <c r="F11" s="228"/>
      <c r="G11" s="229" t="s">
        <v>333</v>
      </c>
      <c r="H11" s="230"/>
      <c r="I11" s="237">
        <v>1</v>
      </c>
      <c r="J11" s="165">
        <f t="shared" si="0"/>
        <v>422</v>
      </c>
    </row>
    <row r="12" spans="1:10">
      <c r="A12" s="227" t="s">
        <v>334</v>
      </c>
      <c r="B12" s="228"/>
      <c r="C12" s="227" t="s">
        <v>335</v>
      </c>
      <c r="D12" s="228"/>
      <c r="E12" s="228"/>
      <c r="F12" s="228"/>
      <c r="G12" s="229" t="s">
        <v>336</v>
      </c>
      <c r="H12" s="230"/>
      <c r="I12" s="237">
        <v>1</v>
      </c>
      <c r="J12" s="165">
        <f t="shared" si="0"/>
        <v>299.25</v>
      </c>
    </row>
    <row r="13" spans="1:10">
      <c r="A13" s="227" t="s">
        <v>337</v>
      </c>
      <c r="B13" s="228"/>
      <c r="C13" s="227" t="s">
        <v>338</v>
      </c>
      <c r="D13" s="228"/>
      <c r="E13" s="228"/>
      <c r="F13" s="228"/>
      <c r="G13" s="229" t="s">
        <v>339</v>
      </c>
      <c r="H13" s="230"/>
      <c r="I13" s="237">
        <v>2</v>
      </c>
      <c r="J13" s="165">
        <f t="shared" si="0"/>
        <v>276.08</v>
      </c>
    </row>
    <row r="14" spans="1:10">
      <c r="A14" s="227" t="s">
        <v>340</v>
      </c>
      <c r="B14" s="228"/>
      <c r="C14" s="227" t="s">
        <v>341</v>
      </c>
      <c r="D14" s="228"/>
      <c r="E14" s="228"/>
      <c r="F14" s="228"/>
      <c r="G14" s="229" t="s">
        <v>342</v>
      </c>
      <c r="H14" s="230"/>
      <c r="I14" s="237">
        <v>1</v>
      </c>
      <c r="J14" s="165">
        <f t="shared" si="0"/>
        <v>45</v>
      </c>
    </row>
    <row r="15" spans="1:10">
      <c r="A15" s="227" t="s">
        <v>343</v>
      </c>
      <c r="B15" s="228"/>
      <c r="C15" s="227" t="s">
        <v>344</v>
      </c>
      <c r="D15" s="228"/>
      <c r="E15" s="228"/>
      <c r="F15" s="228"/>
      <c r="G15" s="229" t="s">
        <v>345</v>
      </c>
      <c r="H15" s="230"/>
      <c r="I15" s="237">
        <v>1</v>
      </c>
      <c r="J15" s="165">
        <f t="shared" si="0"/>
        <v>54</v>
      </c>
    </row>
    <row r="16" spans="1:10">
      <c r="A16" s="227" t="s">
        <v>346</v>
      </c>
      <c r="B16" s="228"/>
      <c r="C16" s="227" t="s">
        <v>347</v>
      </c>
      <c r="D16" s="228"/>
      <c r="E16" s="228"/>
      <c r="F16" s="228"/>
      <c r="G16" s="229" t="s">
        <v>348</v>
      </c>
      <c r="H16" s="230"/>
      <c r="I16" s="237">
        <v>1</v>
      </c>
      <c r="J16" s="165">
        <f t="shared" si="0"/>
        <v>108</v>
      </c>
    </row>
    <row r="17" spans="1:10">
      <c r="A17" s="227" t="s">
        <v>349</v>
      </c>
      <c r="B17" s="228"/>
      <c r="C17" s="227" t="s">
        <v>350</v>
      </c>
      <c r="D17" s="228"/>
      <c r="E17" s="228"/>
      <c r="F17" s="228"/>
      <c r="G17" s="229" t="s">
        <v>351</v>
      </c>
      <c r="H17" s="230"/>
      <c r="I17" s="237">
        <v>3</v>
      </c>
      <c r="J17" s="165">
        <f t="shared" si="0"/>
        <v>207</v>
      </c>
    </row>
    <row r="18" spans="1:10">
      <c r="A18" s="227" t="s">
        <v>352</v>
      </c>
      <c r="B18" s="228"/>
      <c r="C18" s="227" t="s">
        <v>353</v>
      </c>
      <c r="D18" s="228"/>
      <c r="E18" s="228"/>
      <c r="F18" s="228"/>
      <c r="G18" s="229" t="s">
        <v>354</v>
      </c>
      <c r="H18" s="230"/>
      <c r="I18" s="237">
        <v>1</v>
      </c>
      <c r="J18" s="165">
        <f t="shared" si="0"/>
        <v>273.83</v>
      </c>
    </row>
    <row r="19" spans="1:10">
      <c r="A19" s="227" t="s">
        <v>355</v>
      </c>
      <c r="B19" s="228"/>
      <c r="C19" s="227" t="s">
        <v>356</v>
      </c>
      <c r="D19" s="228"/>
      <c r="E19" s="228"/>
      <c r="F19" s="228"/>
      <c r="G19" s="229" t="s">
        <v>357</v>
      </c>
      <c r="H19" s="230"/>
      <c r="I19" s="237">
        <v>1</v>
      </c>
      <c r="J19" s="165">
        <f t="shared" si="0"/>
        <v>246.81</v>
      </c>
    </row>
    <row r="20" spans="1:10">
      <c r="A20" s="227" t="s">
        <v>358</v>
      </c>
      <c r="B20" s="228"/>
      <c r="C20" s="227" t="s">
        <v>359</v>
      </c>
      <c r="D20" s="228"/>
      <c r="E20" s="228"/>
      <c r="F20" s="228"/>
      <c r="G20" s="229" t="s">
        <v>360</v>
      </c>
      <c r="H20" s="230"/>
      <c r="I20" s="237">
        <v>1</v>
      </c>
      <c r="J20" s="165">
        <f t="shared" si="0"/>
        <v>338.18</v>
      </c>
    </row>
    <row r="21" spans="1:10">
      <c r="A21" s="227" t="s">
        <v>361</v>
      </c>
      <c r="B21" s="228"/>
      <c r="C21" s="227" t="s">
        <v>362</v>
      </c>
      <c r="D21" s="228"/>
      <c r="E21" s="228"/>
      <c r="F21" s="228"/>
      <c r="G21" s="229" t="s">
        <v>363</v>
      </c>
      <c r="H21" s="230"/>
      <c r="I21" s="237">
        <v>5</v>
      </c>
      <c r="J21" s="165">
        <f t="shared" si="0"/>
        <v>110</v>
      </c>
    </row>
    <row r="22" spans="1:10">
      <c r="A22" s="227" t="s">
        <v>364</v>
      </c>
      <c r="B22" s="228"/>
      <c r="C22" s="227" t="s">
        <v>365</v>
      </c>
      <c r="D22" s="228"/>
      <c r="E22" s="228"/>
      <c r="F22" s="228"/>
      <c r="G22" s="229" t="s">
        <v>363</v>
      </c>
      <c r="H22" s="230"/>
      <c r="I22" s="237">
        <v>4</v>
      </c>
      <c r="J22" s="165">
        <f t="shared" si="0"/>
        <v>88</v>
      </c>
    </row>
    <row r="23" spans="1:10">
      <c r="A23" s="227" t="s">
        <v>366</v>
      </c>
      <c r="B23" s="228"/>
      <c r="C23" s="227" t="s">
        <v>367</v>
      </c>
      <c r="D23" s="228"/>
      <c r="E23" s="228"/>
      <c r="F23" s="228"/>
      <c r="G23" s="229" t="s">
        <v>368</v>
      </c>
      <c r="H23" s="230"/>
      <c r="I23" s="237">
        <v>1</v>
      </c>
      <c r="J23" s="165">
        <f t="shared" si="0"/>
        <v>135</v>
      </c>
    </row>
    <row r="24" spans="1:10">
      <c r="A24" s="227" t="s">
        <v>369</v>
      </c>
      <c r="B24" s="228"/>
      <c r="C24" s="235" t="s">
        <v>370</v>
      </c>
      <c r="D24" s="228"/>
      <c r="E24" s="228"/>
      <c r="F24" s="228"/>
      <c r="G24" s="229" t="s">
        <v>371</v>
      </c>
      <c r="H24" s="230"/>
      <c r="I24" s="237">
        <v>1</v>
      </c>
      <c r="J24" s="165">
        <f t="shared" si="0"/>
        <v>20.5</v>
      </c>
    </row>
    <row r="25" spans="1:10">
      <c r="A25" s="227" t="s">
        <v>372</v>
      </c>
      <c r="B25" s="228"/>
      <c r="C25" s="227" t="s">
        <v>373</v>
      </c>
      <c r="D25" s="228"/>
      <c r="E25" s="228"/>
      <c r="F25" s="228"/>
      <c r="G25" s="229" t="s">
        <v>374</v>
      </c>
      <c r="H25" s="230"/>
      <c r="I25" s="237">
        <v>1</v>
      </c>
      <c r="J25" s="165">
        <f t="shared" si="0"/>
        <v>65.260000000000005</v>
      </c>
    </row>
    <row r="26" spans="1:10">
      <c r="A26" s="227" t="s">
        <v>375</v>
      </c>
      <c r="B26" s="228"/>
      <c r="C26" s="235" t="s">
        <v>376</v>
      </c>
      <c r="D26" s="228"/>
      <c r="E26" s="228"/>
      <c r="F26" s="228"/>
      <c r="G26" s="229" t="s">
        <v>377</v>
      </c>
      <c r="H26" s="230"/>
      <c r="I26" s="237">
        <v>1</v>
      </c>
      <c r="J26" s="165">
        <f t="shared" si="0"/>
        <v>14.75</v>
      </c>
    </row>
    <row r="27" spans="1:10">
      <c r="A27" s="227" t="s">
        <v>378</v>
      </c>
      <c r="B27" s="228"/>
      <c r="C27" s="227" t="s">
        <v>379</v>
      </c>
      <c r="D27" s="228"/>
      <c r="E27" s="228"/>
      <c r="F27" s="228"/>
      <c r="G27" s="229" t="s">
        <v>380</v>
      </c>
      <c r="H27" s="230"/>
      <c r="I27" s="237">
        <v>2</v>
      </c>
      <c r="J27" s="165">
        <f t="shared" si="0"/>
        <v>71.680000000000007</v>
      </c>
    </row>
    <row r="28" spans="1:10">
      <c r="A28" s="227" t="s">
        <v>381</v>
      </c>
      <c r="B28" s="228"/>
      <c r="C28" s="227" t="s">
        <v>382</v>
      </c>
      <c r="D28" s="228"/>
      <c r="E28" s="228"/>
      <c r="F28" s="228"/>
      <c r="G28" s="229" t="s">
        <v>380</v>
      </c>
      <c r="H28" s="230"/>
      <c r="I28" s="237">
        <v>1</v>
      </c>
      <c r="J28" s="165">
        <f t="shared" si="0"/>
        <v>35.840000000000003</v>
      </c>
    </row>
    <row r="29" spans="1:10">
      <c r="A29" s="227" t="s">
        <v>383</v>
      </c>
      <c r="B29" s="228"/>
      <c r="C29" s="227" t="s">
        <v>384</v>
      </c>
      <c r="D29" s="228"/>
      <c r="E29" s="228"/>
      <c r="F29" s="228"/>
      <c r="G29" s="229" t="s">
        <v>385</v>
      </c>
      <c r="H29" s="230"/>
      <c r="I29" s="237">
        <v>1</v>
      </c>
      <c r="J29" s="165">
        <f t="shared" si="0"/>
        <v>420</v>
      </c>
    </row>
    <row r="30" spans="1:10">
      <c r="A30" s="227" t="s">
        <v>386</v>
      </c>
      <c r="B30" s="228"/>
      <c r="C30" s="227" t="s">
        <v>387</v>
      </c>
      <c r="D30" s="228"/>
      <c r="E30" s="228"/>
      <c r="F30" s="228"/>
      <c r="G30" s="229" t="s">
        <v>388</v>
      </c>
      <c r="H30" s="230"/>
      <c r="I30" s="237">
        <v>1</v>
      </c>
      <c r="J30" s="165">
        <f t="shared" si="0"/>
        <v>425</v>
      </c>
    </row>
    <row r="31" spans="1:10">
      <c r="A31" s="227" t="s">
        <v>389</v>
      </c>
      <c r="B31" s="228"/>
      <c r="C31" s="227" t="s">
        <v>390</v>
      </c>
      <c r="D31" s="228"/>
      <c r="E31" s="228"/>
      <c r="F31" s="228"/>
      <c r="G31" s="229" t="s">
        <v>391</v>
      </c>
      <c r="H31" s="230"/>
      <c r="I31" s="237">
        <v>1</v>
      </c>
      <c r="J31" s="165">
        <f t="shared" si="0"/>
        <v>260.27</v>
      </c>
    </row>
    <row r="32" spans="1:10">
      <c r="A32" s="227" t="s">
        <v>392</v>
      </c>
      <c r="B32" s="228"/>
      <c r="C32" s="227" t="s">
        <v>393</v>
      </c>
      <c r="D32" s="228"/>
      <c r="E32" s="228"/>
      <c r="F32" s="228"/>
      <c r="G32" s="229" t="s">
        <v>394</v>
      </c>
      <c r="H32" s="230"/>
      <c r="I32" s="237">
        <v>1</v>
      </c>
      <c r="J32" s="165">
        <f t="shared" si="0"/>
        <v>134.1</v>
      </c>
    </row>
    <row r="33" spans="1:10">
      <c r="A33" s="227" t="s">
        <v>395</v>
      </c>
      <c r="B33" s="228"/>
      <c r="C33" s="235" t="s">
        <v>396</v>
      </c>
      <c r="D33" s="228"/>
      <c r="E33" s="228"/>
      <c r="F33" s="228"/>
      <c r="G33" s="229" t="s">
        <v>397</v>
      </c>
      <c r="H33" s="230"/>
      <c r="I33" s="237">
        <v>16</v>
      </c>
      <c r="J33" s="165">
        <f t="shared" si="0"/>
        <v>474.24</v>
      </c>
    </row>
    <row r="34" spans="1:10">
      <c r="A34" s="227" t="s">
        <v>398</v>
      </c>
      <c r="B34" s="228"/>
      <c r="C34" s="227" t="s">
        <v>399</v>
      </c>
      <c r="D34" s="228"/>
      <c r="E34" s="228"/>
      <c r="F34" s="228"/>
      <c r="G34" s="229" t="s">
        <v>397</v>
      </c>
      <c r="H34" s="230"/>
      <c r="I34" s="237">
        <v>12</v>
      </c>
      <c r="J34" s="165">
        <f t="shared" si="0"/>
        <v>355.68</v>
      </c>
    </row>
    <row r="35" spans="1:10">
      <c r="A35" s="227" t="s">
        <v>400</v>
      </c>
      <c r="B35" s="228"/>
      <c r="C35" s="227" t="s">
        <v>401</v>
      </c>
      <c r="D35" s="228"/>
      <c r="E35" s="228"/>
      <c r="F35" s="228"/>
      <c r="G35" s="229" t="s">
        <v>397</v>
      </c>
      <c r="H35" s="230"/>
      <c r="I35" s="237">
        <v>8</v>
      </c>
      <c r="J35" s="165">
        <f t="shared" si="0"/>
        <v>237.12</v>
      </c>
    </row>
    <row r="36" spans="1:10">
      <c r="A36" s="227" t="s">
        <v>402</v>
      </c>
      <c r="B36" s="228"/>
      <c r="C36" s="227" t="s">
        <v>403</v>
      </c>
      <c r="D36" s="228"/>
      <c r="E36" s="228"/>
      <c r="F36" s="228"/>
      <c r="G36" s="229" t="s">
        <v>404</v>
      </c>
      <c r="H36" s="230"/>
      <c r="I36" s="237">
        <v>4</v>
      </c>
      <c r="J36" s="165">
        <f t="shared" si="0"/>
        <v>560</v>
      </c>
    </row>
    <row r="37" spans="1:10">
      <c r="A37" s="227" t="s">
        <v>405</v>
      </c>
      <c r="B37" s="228"/>
      <c r="C37" s="227" t="s">
        <v>406</v>
      </c>
      <c r="D37" s="228"/>
      <c r="E37" s="228"/>
      <c r="F37" s="228"/>
      <c r="G37" s="229" t="s">
        <v>407</v>
      </c>
      <c r="H37" s="230"/>
      <c r="I37" s="237">
        <v>3</v>
      </c>
      <c r="J37" s="165">
        <f t="shared" si="0"/>
        <v>685.23</v>
      </c>
    </row>
    <row r="38" spans="1:10">
      <c r="A38" s="227" t="s">
        <v>408</v>
      </c>
      <c r="B38" s="228"/>
      <c r="C38" s="227" t="s">
        <v>409</v>
      </c>
      <c r="D38" s="228"/>
      <c r="E38" s="228"/>
      <c r="F38" s="228"/>
      <c r="G38" s="229" t="s">
        <v>410</v>
      </c>
      <c r="H38" s="230"/>
      <c r="I38" s="237">
        <v>2</v>
      </c>
      <c r="J38" s="165">
        <f t="shared" si="0"/>
        <v>455.62</v>
      </c>
    </row>
    <row r="39" spans="1:10">
      <c r="A39" s="227" t="s">
        <v>411</v>
      </c>
      <c r="B39" s="228"/>
      <c r="C39" s="227" t="s">
        <v>412</v>
      </c>
      <c r="D39" s="228"/>
      <c r="E39" s="228"/>
      <c r="F39" s="228"/>
      <c r="G39" s="229" t="s">
        <v>413</v>
      </c>
      <c r="H39" s="230"/>
      <c r="I39" s="237">
        <v>4</v>
      </c>
      <c r="J39" s="165">
        <f t="shared" si="0"/>
        <v>580</v>
      </c>
    </row>
    <row r="40" spans="1:10">
      <c r="A40" s="227" t="s">
        <v>414</v>
      </c>
      <c r="B40" s="228"/>
      <c r="C40" s="235" t="s">
        <v>415</v>
      </c>
      <c r="D40" s="228"/>
      <c r="E40" s="228"/>
      <c r="F40" s="228"/>
      <c r="G40" s="229" t="s">
        <v>416</v>
      </c>
      <c r="H40" s="230"/>
      <c r="I40" s="237">
        <v>4</v>
      </c>
      <c r="J40" s="165">
        <f t="shared" si="0"/>
        <v>100.16</v>
      </c>
    </row>
    <row r="41" spans="1:10">
      <c r="A41" s="227" t="s">
        <v>417</v>
      </c>
      <c r="B41" s="228"/>
      <c r="C41" s="227" t="s">
        <v>418</v>
      </c>
      <c r="D41" s="228"/>
      <c r="E41" s="228"/>
      <c r="F41" s="228"/>
      <c r="G41" s="229" t="s">
        <v>419</v>
      </c>
      <c r="H41" s="230"/>
      <c r="I41" s="237">
        <v>5</v>
      </c>
      <c r="J41" s="165">
        <f t="shared" si="0"/>
        <v>127.05</v>
      </c>
    </row>
    <row r="42" spans="1:10">
      <c r="A42" s="227" t="s">
        <v>420</v>
      </c>
      <c r="B42" s="228"/>
      <c r="C42" s="227" t="s">
        <v>421</v>
      </c>
      <c r="D42" s="228"/>
      <c r="E42" s="228"/>
      <c r="F42" s="228"/>
      <c r="G42" s="229" t="s">
        <v>422</v>
      </c>
      <c r="H42" s="230"/>
      <c r="I42" s="237">
        <v>1</v>
      </c>
      <c r="J42" s="165">
        <f t="shared" si="0"/>
        <v>248.11</v>
      </c>
    </row>
    <row r="43" spans="1:10">
      <c r="A43" s="227" t="s">
        <v>423</v>
      </c>
      <c r="B43" s="228"/>
      <c r="C43" s="227" t="s">
        <v>424</v>
      </c>
      <c r="D43" s="228"/>
      <c r="E43" s="228"/>
      <c r="F43" s="228"/>
      <c r="G43" s="229" t="s">
        <v>425</v>
      </c>
      <c r="H43" s="230"/>
      <c r="I43" s="237">
        <v>49</v>
      </c>
      <c r="J43" s="165">
        <f t="shared" si="0"/>
        <v>202.37</v>
      </c>
    </row>
    <row r="44" spans="1:10">
      <c r="A44" s="227" t="s">
        <v>426</v>
      </c>
      <c r="B44" s="228"/>
      <c r="C44" s="227" t="s">
        <v>427</v>
      </c>
      <c r="D44" s="228"/>
      <c r="E44" s="228"/>
      <c r="F44" s="228"/>
      <c r="G44" s="229" t="s">
        <v>428</v>
      </c>
      <c r="H44" s="230"/>
      <c r="I44" s="237">
        <v>1</v>
      </c>
      <c r="J44" s="165">
        <f t="shared" si="0"/>
        <v>88</v>
      </c>
    </row>
    <row r="45" spans="1:10">
      <c r="A45" s="227" t="s">
        <v>429</v>
      </c>
      <c r="B45" s="228"/>
      <c r="C45" s="227" t="s">
        <v>430</v>
      </c>
      <c r="D45" s="228"/>
      <c r="E45" s="228"/>
      <c r="F45" s="228"/>
      <c r="G45" s="229" t="s">
        <v>431</v>
      </c>
      <c r="H45" s="230"/>
      <c r="I45" s="237">
        <v>1</v>
      </c>
      <c r="J45" s="165">
        <f t="shared" si="0"/>
        <v>275</v>
      </c>
    </row>
    <row r="46" spans="1:10">
      <c r="A46" s="227" t="s">
        <v>432</v>
      </c>
      <c r="B46" s="228"/>
      <c r="C46" s="227" t="s">
        <v>433</v>
      </c>
      <c r="D46" s="228"/>
      <c r="E46" s="228"/>
      <c r="F46" s="228"/>
      <c r="G46" s="229" t="s">
        <v>434</v>
      </c>
      <c r="H46" s="230"/>
      <c r="I46" s="237">
        <v>1</v>
      </c>
      <c r="J46" s="165">
        <f t="shared" si="0"/>
        <v>321.13</v>
      </c>
    </row>
    <row r="47" spans="1:10">
      <c r="A47" s="227" t="s">
        <v>435</v>
      </c>
      <c r="B47" s="228"/>
      <c r="C47" s="227" t="s">
        <v>436</v>
      </c>
      <c r="D47" s="228"/>
      <c r="E47" s="228"/>
      <c r="F47" s="228"/>
      <c r="G47" s="229" t="s">
        <v>437</v>
      </c>
      <c r="H47" s="230"/>
      <c r="I47" s="237">
        <v>2</v>
      </c>
      <c r="J47" s="165">
        <f t="shared" si="0"/>
        <v>1118</v>
      </c>
    </row>
    <row r="48" spans="1:10">
      <c r="A48" s="227" t="s">
        <v>438</v>
      </c>
      <c r="B48" s="228"/>
      <c r="C48" s="227" t="s">
        <v>439</v>
      </c>
      <c r="D48" s="228"/>
      <c r="E48" s="228"/>
      <c r="F48" s="228"/>
      <c r="G48" s="229" t="s">
        <v>440</v>
      </c>
      <c r="H48" s="230"/>
      <c r="I48" s="237">
        <v>1</v>
      </c>
      <c r="J48" s="165">
        <f t="shared" si="0"/>
        <v>256.22000000000003</v>
      </c>
    </row>
    <row r="49" spans="1:10">
      <c r="A49" s="227" t="s">
        <v>441</v>
      </c>
      <c r="B49" s="228"/>
      <c r="C49" s="227" t="s">
        <v>442</v>
      </c>
      <c r="D49" s="228"/>
      <c r="E49" s="228"/>
      <c r="F49" s="228"/>
      <c r="G49" s="229" t="s">
        <v>443</v>
      </c>
      <c r="H49" s="230"/>
      <c r="I49" s="237">
        <v>1</v>
      </c>
      <c r="J49" s="165">
        <f t="shared" si="0"/>
        <v>290</v>
      </c>
    </row>
    <row r="50" spans="1:10">
      <c r="A50" s="227" t="s">
        <v>444</v>
      </c>
      <c r="B50" s="228"/>
      <c r="C50" s="227" t="s">
        <v>445</v>
      </c>
      <c r="D50" s="228"/>
      <c r="E50" s="228"/>
      <c r="F50" s="228"/>
      <c r="G50" s="229" t="s">
        <v>446</v>
      </c>
      <c r="H50" s="230"/>
      <c r="I50" s="237">
        <v>2</v>
      </c>
      <c r="J50" s="165">
        <f t="shared" si="0"/>
        <v>381.62</v>
      </c>
    </row>
    <row r="51" spans="1:10">
      <c r="A51" s="227" t="s">
        <v>447</v>
      </c>
      <c r="B51" s="228"/>
      <c r="C51" s="227" t="s">
        <v>448</v>
      </c>
      <c r="D51" s="228"/>
      <c r="E51" s="228"/>
      <c r="F51" s="228"/>
      <c r="G51" s="229" t="s">
        <v>449</v>
      </c>
      <c r="H51" s="230"/>
      <c r="I51" s="237">
        <v>5</v>
      </c>
      <c r="J51" s="165">
        <f t="shared" si="0"/>
        <v>158.35000000000002</v>
      </c>
    </row>
    <row r="52" spans="1:10">
      <c r="A52" s="227" t="s">
        <v>450</v>
      </c>
      <c r="B52" s="228"/>
      <c r="C52" s="227" t="s">
        <v>451</v>
      </c>
      <c r="D52" s="228"/>
      <c r="E52" s="228"/>
      <c r="F52" s="228"/>
      <c r="G52" s="229" t="s">
        <v>452</v>
      </c>
      <c r="H52" s="230"/>
      <c r="I52" s="237">
        <v>1</v>
      </c>
      <c r="J52" s="165">
        <f t="shared" si="0"/>
        <v>94.07</v>
      </c>
    </row>
    <row r="53" spans="1:10">
      <c r="A53" s="227" t="s">
        <v>453</v>
      </c>
      <c r="B53" s="228"/>
      <c r="C53" s="227" t="s">
        <v>454</v>
      </c>
      <c r="D53" s="228"/>
      <c r="E53" s="228"/>
      <c r="F53" s="228"/>
      <c r="G53" s="229" t="s">
        <v>455</v>
      </c>
      <c r="H53" s="230"/>
      <c r="I53" s="237">
        <v>1</v>
      </c>
      <c r="J53" s="165">
        <f t="shared" si="0"/>
        <v>99.25</v>
      </c>
    </row>
    <row r="54" spans="1:10">
      <c r="A54" s="227" t="s">
        <v>456</v>
      </c>
      <c r="B54" s="228"/>
      <c r="C54" s="227" t="s">
        <v>457</v>
      </c>
      <c r="D54" s="228"/>
      <c r="E54" s="228"/>
      <c r="F54" s="228"/>
      <c r="G54" s="229" t="s">
        <v>458</v>
      </c>
      <c r="H54" s="230"/>
      <c r="I54" s="237">
        <v>8</v>
      </c>
      <c r="J54" s="165">
        <f t="shared" si="0"/>
        <v>43.2</v>
      </c>
    </row>
    <row r="55" spans="1:10">
      <c r="A55" s="227" t="s">
        <v>459</v>
      </c>
      <c r="B55" s="228"/>
      <c r="C55" s="227" t="s">
        <v>460</v>
      </c>
      <c r="D55" s="228"/>
      <c r="E55" s="228"/>
      <c r="F55" s="228"/>
      <c r="G55" s="229" t="s">
        <v>458</v>
      </c>
      <c r="H55" s="230"/>
      <c r="I55" s="237">
        <v>3</v>
      </c>
      <c r="J55" s="165">
        <f t="shared" si="0"/>
        <v>16.200000000000003</v>
      </c>
    </row>
    <row r="56" spans="1:10">
      <c r="A56" s="227" t="s">
        <v>461</v>
      </c>
      <c r="B56" s="228"/>
      <c r="C56" s="227" t="s">
        <v>462</v>
      </c>
      <c r="D56" s="228"/>
      <c r="E56" s="228"/>
      <c r="F56" s="228"/>
      <c r="G56" s="229" t="s">
        <v>463</v>
      </c>
      <c r="H56" s="230"/>
      <c r="I56" s="237">
        <v>1</v>
      </c>
      <c r="J56" s="165">
        <f t="shared" si="0"/>
        <v>309.37</v>
      </c>
    </row>
    <row r="57" spans="1:10">
      <c r="A57" s="227" t="s">
        <v>464</v>
      </c>
      <c r="B57" s="228"/>
      <c r="C57" s="227" t="s">
        <v>465</v>
      </c>
      <c r="D57" s="228"/>
      <c r="E57" s="228"/>
      <c r="F57" s="228"/>
      <c r="G57" s="229" t="s">
        <v>466</v>
      </c>
      <c r="H57" s="230"/>
      <c r="I57" s="237">
        <v>1</v>
      </c>
      <c r="J57" s="165">
        <f t="shared" si="0"/>
        <v>152.21</v>
      </c>
    </row>
    <row r="58" spans="1:10">
      <c r="A58" s="227" t="s">
        <v>467</v>
      </c>
      <c r="B58" s="228"/>
      <c r="C58" s="227" t="s">
        <v>468</v>
      </c>
      <c r="D58" s="228"/>
      <c r="E58" s="228"/>
      <c r="F58" s="228"/>
      <c r="G58" s="229" t="s">
        <v>469</v>
      </c>
      <c r="H58" s="230"/>
      <c r="I58" s="237">
        <v>5</v>
      </c>
      <c r="J58" s="165">
        <f t="shared" si="0"/>
        <v>575</v>
      </c>
    </row>
    <row r="59" spans="1:10">
      <c r="A59" s="227" t="s">
        <v>470</v>
      </c>
      <c r="B59" s="228"/>
      <c r="C59" s="227" t="s">
        <v>471</v>
      </c>
      <c r="D59" s="228"/>
      <c r="E59" s="228"/>
      <c r="F59" s="228"/>
      <c r="G59" s="229" t="s">
        <v>472</v>
      </c>
      <c r="H59" s="230"/>
      <c r="I59" s="237">
        <v>1</v>
      </c>
      <c r="J59" s="165">
        <f t="shared" si="0"/>
        <v>346.57</v>
      </c>
    </row>
    <row r="60" spans="1:10">
      <c r="A60" s="227" t="s">
        <v>473</v>
      </c>
      <c r="B60" s="228"/>
      <c r="C60" s="227" t="s">
        <v>474</v>
      </c>
      <c r="D60" s="228"/>
      <c r="E60" s="228"/>
      <c r="F60" s="228"/>
      <c r="G60" s="229" t="s">
        <v>475</v>
      </c>
      <c r="H60" s="230"/>
      <c r="I60" s="237">
        <v>6</v>
      </c>
      <c r="J60" s="165">
        <f t="shared" si="0"/>
        <v>78</v>
      </c>
    </row>
    <row r="61" spans="1:10">
      <c r="A61" s="227" t="s">
        <v>476</v>
      </c>
      <c r="B61" s="228"/>
      <c r="C61" s="227" t="s">
        <v>477</v>
      </c>
      <c r="D61" s="228"/>
      <c r="E61" s="228"/>
      <c r="F61" s="228"/>
      <c r="G61" s="229" t="s">
        <v>478</v>
      </c>
      <c r="H61" s="230"/>
      <c r="I61" s="237">
        <v>2</v>
      </c>
      <c r="J61" s="165">
        <f t="shared" si="0"/>
        <v>206.48</v>
      </c>
    </row>
    <row r="62" spans="1:10">
      <c r="A62" s="227" t="s">
        <v>479</v>
      </c>
      <c r="B62" s="228"/>
      <c r="C62" s="227" t="s">
        <v>480</v>
      </c>
      <c r="D62" s="228"/>
      <c r="E62" s="228"/>
      <c r="F62" s="228"/>
      <c r="G62" s="229" t="s">
        <v>481</v>
      </c>
      <c r="H62" s="230"/>
      <c r="I62" s="237">
        <v>2</v>
      </c>
      <c r="J62" s="165">
        <f t="shared" si="0"/>
        <v>376.54</v>
      </c>
    </row>
    <row r="63" spans="1:10">
      <c r="A63" s="227" t="s">
        <v>482</v>
      </c>
      <c r="B63" s="228"/>
      <c r="C63" s="227" t="s">
        <v>483</v>
      </c>
      <c r="D63" s="228"/>
      <c r="E63" s="228"/>
      <c r="F63" s="228"/>
      <c r="G63" s="229" t="s">
        <v>484</v>
      </c>
      <c r="H63" s="230"/>
      <c r="I63" s="237">
        <v>1</v>
      </c>
      <c r="J63" s="165">
        <f t="shared" si="0"/>
        <v>360.59</v>
      </c>
    </row>
    <row r="64" spans="1:10">
      <c r="A64" s="227" t="s">
        <v>485</v>
      </c>
      <c r="B64" s="228"/>
      <c r="C64" s="227" t="s">
        <v>486</v>
      </c>
      <c r="D64" s="228"/>
      <c r="E64" s="228"/>
      <c r="F64" s="228"/>
      <c r="G64" s="229" t="s">
        <v>487</v>
      </c>
      <c r="H64" s="230"/>
      <c r="I64" s="237">
        <v>2</v>
      </c>
      <c r="J64" s="165">
        <f t="shared" si="0"/>
        <v>746.04</v>
      </c>
    </row>
    <row r="65" spans="1:10">
      <c r="A65" s="227" t="s">
        <v>488</v>
      </c>
      <c r="B65" s="228"/>
      <c r="C65" s="227" t="s">
        <v>489</v>
      </c>
      <c r="D65" s="228"/>
      <c r="E65" s="228"/>
      <c r="F65" s="228"/>
      <c r="G65" s="229" t="s">
        <v>487</v>
      </c>
      <c r="H65" s="230"/>
      <c r="I65" s="237">
        <v>1</v>
      </c>
      <c r="J65" s="165">
        <f t="shared" si="0"/>
        <v>373.02</v>
      </c>
    </row>
    <row r="66" spans="1:10">
      <c r="A66" s="227" t="s">
        <v>490</v>
      </c>
      <c r="B66" s="228"/>
      <c r="C66" s="227" t="s">
        <v>491</v>
      </c>
      <c r="D66" s="228"/>
      <c r="E66" s="228"/>
      <c r="F66" s="228"/>
      <c r="G66" s="229" t="s">
        <v>368</v>
      </c>
      <c r="H66" s="230"/>
      <c r="I66" s="237">
        <v>4</v>
      </c>
      <c r="J66" s="165">
        <f t="shared" si="0"/>
        <v>540</v>
      </c>
    </row>
    <row r="67" spans="1:10">
      <c r="A67" s="227" t="s">
        <v>492</v>
      </c>
      <c r="B67" s="228"/>
      <c r="C67" s="227" t="s">
        <v>493</v>
      </c>
      <c r="D67" s="228"/>
      <c r="E67" s="228"/>
      <c r="F67" s="228"/>
      <c r="G67" s="229" t="s">
        <v>494</v>
      </c>
      <c r="H67" s="230"/>
      <c r="I67" s="237">
        <v>1</v>
      </c>
      <c r="J67" s="165">
        <f t="shared" si="0"/>
        <v>582</v>
      </c>
    </row>
    <row r="68" spans="1:10">
      <c r="A68" s="227" t="s">
        <v>495</v>
      </c>
      <c r="B68" s="228"/>
      <c r="C68" s="227" t="s">
        <v>496</v>
      </c>
      <c r="D68" s="228"/>
      <c r="E68" s="228"/>
      <c r="F68" s="228"/>
      <c r="G68" s="229" t="s">
        <v>497</v>
      </c>
      <c r="H68" s="230"/>
      <c r="I68" s="237">
        <v>1</v>
      </c>
      <c r="J68" s="165">
        <f t="shared" si="0"/>
        <v>30.39</v>
      </c>
    </row>
    <row r="69" spans="1:10">
      <c r="A69" s="227" t="s">
        <v>498</v>
      </c>
      <c r="B69" s="228"/>
      <c r="C69" s="227" t="s">
        <v>499</v>
      </c>
      <c r="D69" s="228"/>
      <c r="E69" s="228"/>
      <c r="F69" s="228"/>
      <c r="G69" s="229" t="s">
        <v>500</v>
      </c>
      <c r="H69" s="230"/>
      <c r="I69" s="237">
        <v>1</v>
      </c>
      <c r="J69" s="165">
        <f t="shared" si="0"/>
        <v>161.37</v>
      </c>
    </row>
    <row r="70" spans="1:10">
      <c r="A70" s="227" t="s">
        <v>501</v>
      </c>
      <c r="B70" s="228"/>
      <c r="C70" s="227" t="s">
        <v>502</v>
      </c>
      <c r="D70" s="228"/>
      <c r="E70" s="228"/>
      <c r="F70" s="228"/>
      <c r="G70" s="229" t="s">
        <v>503</v>
      </c>
      <c r="H70" s="230"/>
      <c r="I70" s="237">
        <v>1</v>
      </c>
      <c r="J70" s="165">
        <f t="shared" si="0"/>
        <v>304.25</v>
      </c>
    </row>
    <row r="71" spans="1:10">
      <c r="A71" s="227" t="s">
        <v>504</v>
      </c>
      <c r="B71" s="228"/>
      <c r="C71" s="227" t="s">
        <v>505</v>
      </c>
      <c r="D71" s="228"/>
      <c r="E71" s="228"/>
      <c r="F71" s="228"/>
      <c r="G71" s="229" t="s">
        <v>506</v>
      </c>
      <c r="H71" s="230"/>
      <c r="I71" s="237">
        <v>1</v>
      </c>
      <c r="J71" s="165">
        <f t="shared" si="0"/>
        <v>23</v>
      </c>
    </row>
    <row r="72" spans="1:10">
      <c r="A72" s="227" t="s">
        <v>507</v>
      </c>
      <c r="B72" s="228"/>
      <c r="C72" s="227" t="s">
        <v>508</v>
      </c>
      <c r="D72" s="228"/>
      <c r="E72" s="228"/>
      <c r="F72" s="228"/>
      <c r="G72" s="229" t="s">
        <v>509</v>
      </c>
      <c r="H72" s="230"/>
      <c r="I72" s="237">
        <v>15</v>
      </c>
      <c r="J72" s="165">
        <f t="shared" ref="J72:J123" si="1">G72*I72</f>
        <v>62.250000000000007</v>
      </c>
    </row>
    <row r="73" spans="1:10">
      <c r="A73" s="227" t="s">
        <v>510</v>
      </c>
      <c r="B73" s="228"/>
      <c r="C73" s="227" t="s">
        <v>511</v>
      </c>
      <c r="D73" s="228"/>
      <c r="E73" s="228"/>
      <c r="F73" s="228"/>
      <c r="G73" s="229" t="s">
        <v>512</v>
      </c>
      <c r="H73" s="230"/>
      <c r="I73" s="237">
        <v>2</v>
      </c>
      <c r="J73" s="165">
        <f t="shared" si="1"/>
        <v>200</v>
      </c>
    </row>
    <row r="74" spans="1:10">
      <c r="A74" s="227" t="s">
        <v>513</v>
      </c>
      <c r="B74" s="228"/>
      <c r="C74" s="227" t="s">
        <v>514</v>
      </c>
      <c r="D74" s="228"/>
      <c r="E74" s="228"/>
      <c r="F74" s="228"/>
      <c r="G74" s="229" t="s">
        <v>515</v>
      </c>
      <c r="H74" s="230"/>
      <c r="I74" s="237">
        <v>2</v>
      </c>
      <c r="J74" s="165">
        <f t="shared" si="1"/>
        <v>450</v>
      </c>
    </row>
    <row r="75" spans="1:10">
      <c r="A75" s="227" t="s">
        <v>516</v>
      </c>
      <c r="B75" s="228"/>
      <c r="C75" s="227" t="s">
        <v>517</v>
      </c>
      <c r="D75" s="228"/>
      <c r="E75" s="228"/>
      <c r="F75" s="228"/>
      <c r="G75" s="229" t="s">
        <v>518</v>
      </c>
      <c r="H75" s="230"/>
      <c r="I75" s="237">
        <v>2</v>
      </c>
      <c r="J75" s="165">
        <f t="shared" si="1"/>
        <v>396</v>
      </c>
    </row>
    <row r="76" spans="1:10">
      <c r="A76" s="227" t="s">
        <v>519</v>
      </c>
      <c r="B76" s="228"/>
      <c r="C76" s="227" t="s">
        <v>520</v>
      </c>
      <c r="D76" s="228"/>
      <c r="E76" s="228"/>
      <c r="F76" s="228"/>
      <c r="G76" s="229" t="s">
        <v>521</v>
      </c>
      <c r="H76" s="230"/>
      <c r="I76" s="237">
        <v>3</v>
      </c>
      <c r="J76" s="165">
        <f t="shared" si="1"/>
        <v>975</v>
      </c>
    </row>
    <row r="77" spans="1:10">
      <c r="A77" s="227" t="s">
        <v>522</v>
      </c>
      <c r="B77" s="228"/>
      <c r="C77" s="227" t="s">
        <v>523</v>
      </c>
      <c r="D77" s="228"/>
      <c r="E77" s="228"/>
      <c r="F77" s="228"/>
      <c r="G77" s="229" t="s">
        <v>524</v>
      </c>
      <c r="H77" s="230"/>
      <c r="I77" s="237">
        <v>5</v>
      </c>
      <c r="J77" s="165">
        <f t="shared" si="1"/>
        <v>32</v>
      </c>
    </row>
    <row r="78" spans="1:10">
      <c r="A78" s="227" t="s">
        <v>525</v>
      </c>
      <c r="B78" s="228"/>
      <c r="C78" s="227" t="s">
        <v>526</v>
      </c>
      <c r="D78" s="228"/>
      <c r="E78" s="228"/>
      <c r="F78" s="228"/>
      <c r="G78" s="229" t="s">
        <v>527</v>
      </c>
      <c r="H78" s="230"/>
      <c r="I78" s="237">
        <v>4</v>
      </c>
      <c r="J78" s="165">
        <f t="shared" si="1"/>
        <v>515.36</v>
      </c>
    </row>
    <row r="79" spans="1:10">
      <c r="A79" s="227" t="s">
        <v>528</v>
      </c>
      <c r="B79" s="228"/>
      <c r="C79" s="227" t="s">
        <v>529</v>
      </c>
      <c r="D79" s="228"/>
      <c r="E79" s="228"/>
      <c r="F79" s="228"/>
      <c r="G79" s="229" t="s">
        <v>530</v>
      </c>
      <c r="H79" s="230"/>
      <c r="I79" s="237">
        <v>1</v>
      </c>
      <c r="J79" s="165">
        <f t="shared" si="1"/>
        <v>270</v>
      </c>
    </row>
    <row r="80" spans="1:10">
      <c r="A80" s="227" t="s">
        <v>531</v>
      </c>
      <c r="B80" s="228"/>
      <c r="C80" s="227" t="s">
        <v>532</v>
      </c>
      <c r="D80" s="228"/>
      <c r="E80" s="228"/>
      <c r="F80" s="228"/>
      <c r="G80" s="229" t="s">
        <v>533</v>
      </c>
      <c r="H80" s="230"/>
      <c r="I80" s="237">
        <v>4</v>
      </c>
      <c r="J80" s="165">
        <f t="shared" si="1"/>
        <v>492</v>
      </c>
    </row>
    <row r="81" spans="1:10">
      <c r="A81" s="227" t="s">
        <v>534</v>
      </c>
      <c r="B81" s="228"/>
      <c r="C81" s="227" t="s">
        <v>535</v>
      </c>
      <c r="D81" s="228"/>
      <c r="E81" s="228"/>
      <c r="F81" s="228"/>
      <c r="G81" s="229" t="s">
        <v>536</v>
      </c>
      <c r="H81" s="230"/>
      <c r="I81" s="237">
        <v>1</v>
      </c>
      <c r="J81" s="165">
        <f t="shared" si="1"/>
        <v>246.01</v>
      </c>
    </row>
    <row r="82" spans="1:10">
      <c r="A82" s="227" t="s">
        <v>537</v>
      </c>
      <c r="B82" s="228"/>
      <c r="C82" s="227" t="s">
        <v>538</v>
      </c>
      <c r="D82" s="228"/>
      <c r="E82" s="228"/>
      <c r="F82" s="228"/>
      <c r="G82" s="229" t="s">
        <v>539</v>
      </c>
      <c r="H82" s="230"/>
      <c r="I82" s="237">
        <v>5</v>
      </c>
      <c r="J82" s="165">
        <f t="shared" si="1"/>
        <v>102.55000000000001</v>
      </c>
    </row>
    <row r="83" spans="1:10">
      <c r="A83" s="227" t="s">
        <v>540</v>
      </c>
      <c r="B83" s="228"/>
      <c r="C83" s="235" t="s">
        <v>541</v>
      </c>
      <c r="D83" s="228"/>
      <c r="E83" s="228"/>
      <c r="F83" s="228"/>
      <c r="G83" s="229" t="s">
        <v>539</v>
      </c>
      <c r="H83" s="230"/>
      <c r="I83" s="237">
        <v>15</v>
      </c>
      <c r="J83" s="165">
        <f t="shared" si="1"/>
        <v>307.65000000000003</v>
      </c>
    </row>
    <row r="84" spans="1:10">
      <c r="A84" s="227" t="s">
        <v>542</v>
      </c>
      <c r="B84" s="228"/>
      <c r="C84" s="227" t="s">
        <v>543</v>
      </c>
      <c r="D84" s="228"/>
      <c r="E84" s="228"/>
      <c r="F84" s="228"/>
      <c r="G84" s="229" t="s">
        <v>544</v>
      </c>
      <c r="H84" s="230"/>
      <c r="I84" s="237">
        <v>2</v>
      </c>
      <c r="J84" s="165">
        <f t="shared" si="1"/>
        <v>70.08</v>
      </c>
    </row>
    <row r="85" spans="1:10">
      <c r="A85" s="227" t="s">
        <v>545</v>
      </c>
      <c r="B85" s="228"/>
      <c r="C85" s="227" t="s">
        <v>546</v>
      </c>
      <c r="D85" s="228"/>
      <c r="E85" s="228"/>
      <c r="F85" s="228"/>
      <c r="G85" s="229" t="s">
        <v>547</v>
      </c>
      <c r="H85" s="230"/>
      <c r="I85" s="237">
        <v>4</v>
      </c>
      <c r="J85" s="165">
        <f t="shared" si="1"/>
        <v>916</v>
      </c>
    </row>
    <row r="86" spans="1:10">
      <c r="A86" s="227" t="s">
        <v>548</v>
      </c>
      <c r="B86" s="228"/>
      <c r="C86" s="227" t="s">
        <v>549</v>
      </c>
      <c r="D86" s="228"/>
      <c r="E86" s="228"/>
      <c r="F86" s="228"/>
      <c r="G86" s="229" t="s">
        <v>550</v>
      </c>
      <c r="H86" s="230"/>
      <c r="I86" s="237">
        <v>1</v>
      </c>
      <c r="J86" s="165">
        <f t="shared" si="1"/>
        <v>312.25</v>
      </c>
    </row>
    <row r="87" spans="1:10">
      <c r="A87" s="227" t="s">
        <v>551</v>
      </c>
      <c r="B87" s="228"/>
      <c r="C87" s="227" t="s">
        <v>552</v>
      </c>
      <c r="D87" s="228"/>
      <c r="E87" s="228"/>
      <c r="F87" s="228"/>
      <c r="G87" s="229" t="s">
        <v>553</v>
      </c>
      <c r="H87" s="230"/>
      <c r="I87" s="237">
        <v>1</v>
      </c>
      <c r="J87" s="165">
        <f t="shared" si="1"/>
        <v>619.20000000000005</v>
      </c>
    </row>
    <row r="88" spans="1:10">
      <c r="A88" s="227" t="s">
        <v>554</v>
      </c>
      <c r="B88" s="228"/>
      <c r="C88" s="227" t="s">
        <v>555</v>
      </c>
      <c r="D88" s="228"/>
      <c r="E88" s="228"/>
      <c r="F88" s="228"/>
      <c r="G88" s="229" t="s">
        <v>556</v>
      </c>
      <c r="H88" s="230"/>
      <c r="I88" s="237">
        <v>1</v>
      </c>
      <c r="J88" s="165">
        <f t="shared" si="1"/>
        <v>520</v>
      </c>
    </row>
    <row r="89" spans="1:10">
      <c r="A89" s="227" t="s">
        <v>557</v>
      </c>
      <c r="B89" s="228"/>
      <c r="C89" s="227" t="s">
        <v>558</v>
      </c>
      <c r="D89" s="228"/>
      <c r="E89" s="228"/>
      <c r="F89" s="228"/>
      <c r="G89" s="229" t="s">
        <v>559</v>
      </c>
      <c r="H89" s="230"/>
      <c r="I89" s="237">
        <v>1</v>
      </c>
      <c r="J89" s="165">
        <f t="shared" si="1"/>
        <v>480</v>
      </c>
    </row>
    <row r="90" spans="1:10">
      <c r="A90" s="227" t="s">
        <v>560</v>
      </c>
      <c r="B90" s="228"/>
      <c r="C90" s="227" t="s">
        <v>561</v>
      </c>
      <c r="D90" s="228"/>
      <c r="E90" s="228"/>
      <c r="F90" s="228"/>
      <c r="G90" s="229" t="s">
        <v>562</v>
      </c>
      <c r="H90" s="230"/>
      <c r="I90" s="237">
        <v>1</v>
      </c>
      <c r="J90" s="165">
        <f t="shared" si="1"/>
        <v>379.81</v>
      </c>
    </row>
    <row r="91" spans="1:10">
      <c r="A91" s="227" t="s">
        <v>563</v>
      </c>
      <c r="B91" s="228"/>
      <c r="C91" s="227" t="s">
        <v>564</v>
      </c>
      <c r="D91" s="228"/>
      <c r="E91" s="228"/>
      <c r="F91" s="228"/>
      <c r="G91" s="229" t="s">
        <v>565</v>
      </c>
      <c r="H91" s="230"/>
      <c r="I91" s="237">
        <v>1</v>
      </c>
      <c r="J91" s="165">
        <f t="shared" si="1"/>
        <v>304</v>
      </c>
    </row>
    <row r="92" spans="1:10">
      <c r="A92" s="227" t="s">
        <v>566</v>
      </c>
      <c r="B92" s="228"/>
      <c r="C92" s="227" t="s">
        <v>567</v>
      </c>
      <c r="D92" s="228"/>
      <c r="E92" s="228"/>
      <c r="F92" s="228"/>
      <c r="G92" s="229" t="s">
        <v>568</v>
      </c>
      <c r="H92" s="230"/>
      <c r="I92" s="237">
        <v>1</v>
      </c>
      <c r="J92" s="165">
        <f t="shared" si="1"/>
        <v>175</v>
      </c>
    </row>
    <row r="93" spans="1:10">
      <c r="A93" s="227" t="s">
        <v>569</v>
      </c>
      <c r="B93" s="228"/>
      <c r="C93" s="227" t="s">
        <v>570</v>
      </c>
      <c r="D93" s="228"/>
      <c r="E93" s="228"/>
      <c r="F93" s="228"/>
      <c r="G93" s="229" t="s">
        <v>571</v>
      </c>
      <c r="H93" s="230"/>
      <c r="I93" s="237">
        <v>1</v>
      </c>
      <c r="J93" s="165">
        <f t="shared" si="1"/>
        <v>57.69</v>
      </c>
    </row>
    <row r="94" spans="1:10">
      <c r="A94" s="227" t="s">
        <v>572</v>
      </c>
      <c r="B94" s="228"/>
      <c r="C94" s="227" t="s">
        <v>573</v>
      </c>
      <c r="D94" s="228"/>
      <c r="E94" s="228"/>
      <c r="F94" s="228"/>
      <c r="G94" s="229" t="s">
        <v>574</v>
      </c>
      <c r="H94" s="230"/>
      <c r="I94" s="237">
        <v>1</v>
      </c>
      <c r="J94" s="165">
        <f t="shared" si="1"/>
        <v>351.12</v>
      </c>
    </row>
    <row r="95" spans="1:10">
      <c r="A95" s="227" t="s">
        <v>575</v>
      </c>
      <c r="B95" s="228"/>
      <c r="C95" s="227" t="s">
        <v>576</v>
      </c>
      <c r="D95" s="228"/>
      <c r="E95" s="228"/>
      <c r="F95" s="228"/>
      <c r="G95" s="229" t="s">
        <v>577</v>
      </c>
      <c r="H95" s="230"/>
      <c r="I95" s="237">
        <v>1</v>
      </c>
      <c r="J95" s="165">
        <f t="shared" si="1"/>
        <v>385.44</v>
      </c>
    </row>
    <row r="96" spans="1:10">
      <c r="A96" s="227" t="s">
        <v>578</v>
      </c>
      <c r="B96" s="228"/>
      <c r="C96" s="227" t="s">
        <v>579</v>
      </c>
      <c r="D96" s="228"/>
      <c r="E96" s="228"/>
      <c r="F96" s="228"/>
      <c r="G96" s="229" t="s">
        <v>580</v>
      </c>
      <c r="H96" s="230"/>
      <c r="I96" s="237">
        <v>1</v>
      </c>
      <c r="J96" s="165">
        <f t="shared" si="1"/>
        <v>204.58</v>
      </c>
    </row>
    <row r="97" spans="1:10">
      <c r="A97" s="227" t="s">
        <v>581</v>
      </c>
      <c r="B97" s="228"/>
      <c r="C97" s="227" t="s">
        <v>582</v>
      </c>
      <c r="D97" s="228"/>
      <c r="E97" s="228"/>
      <c r="F97" s="228"/>
      <c r="G97" s="229" t="s">
        <v>583</v>
      </c>
      <c r="H97" s="230"/>
      <c r="I97" s="237">
        <v>3</v>
      </c>
      <c r="J97" s="165">
        <f t="shared" si="1"/>
        <v>294</v>
      </c>
    </row>
    <row r="98" spans="1:10">
      <c r="A98" s="227" t="s">
        <v>584</v>
      </c>
      <c r="B98" s="228"/>
      <c r="C98" s="227" t="s">
        <v>585</v>
      </c>
      <c r="D98" s="228"/>
      <c r="E98" s="228"/>
      <c r="F98" s="228"/>
      <c r="G98" s="229" t="s">
        <v>586</v>
      </c>
      <c r="H98" s="230"/>
      <c r="I98" s="237">
        <v>2</v>
      </c>
      <c r="J98" s="165">
        <f t="shared" si="1"/>
        <v>130</v>
      </c>
    </row>
    <row r="99" spans="1:10">
      <c r="A99" s="227" t="s">
        <v>587</v>
      </c>
      <c r="B99" s="228"/>
      <c r="C99" s="227" t="s">
        <v>588</v>
      </c>
      <c r="D99" s="228"/>
      <c r="E99" s="228"/>
      <c r="F99" s="228"/>
      <c r="G99" s="229" t="s">
        <v>589</v>
      </c>
      <c r="H99" s="230"/>
      <c r="I99" s="237">
        <v>1</v>
      </c>
      <c r="J99" s="165">
        <f t="shared" si="1"/>
        <v>250</v>
      </c>
    </row>
    <row r="100" spans="1:10">
      <c r="A100" s="227" t="s">
        <v>590</v>
      </c>
      <c r="B100" s="228"/>
      <c r="C100" s="227" t="s">
        <v>591</v>
      </c>
      <c r="D100" s="228"/>
      <c r="E100" s="228"/>
      <c r="F100" s="228"/>
      <c r="G100" s="229" t="s">
        <v>592</v>
      </c>
      <c r="H100" s="230"/>
      <c r="I100" s="237">
        <v>1</v>
      </c>
      <c r="J100" s="165">
        <f t="shared" si="1"/>
        <v>683.91</v>
      </c>
    </row>
    <row r="101" spans="1:10">
      <c r="A101" s="227" t="s">
        <v>593</v>
      </c>
      <c r="B101" s="228"/>
      <c r="C101" s="227" t="s">
        <v>594</v>
      </c>
      <c r="D101" s="228"/>
      <c r="E101" s="228"/>
      <c r="F101" s="228"/>
      <c r="G101" s="229" t="s">
        <v>595</v>
      </c>
      <c r="H101" s="230"/>
      <c r="I101" s="237">
        <v>1</v>
      </c>
      <c r="J101" s="165">
        <f t="shared" si="1"/>
        <v>868.31</v>
      </c>
    </row>
    <row r="102" spans="1:10">
      <c r="A102" s="227" t="s">
        <v>596</v>
      </c>
      <c r="B102" s="228"/>
      <c r="C102" s="227" t="s">
        <v>597</v>
      </c>
      <c r="D102" s="228"/>
      <c r="E102" s="228"/>
      <c r="F102" s="228"/>
      <c r="G102" s="229" t="s">
        <v>598</v>
      </c>
      <c r="H102" s="230"/>
      <c r="I102" s="237">
        <v>1</v>
      </c>
      <c r="J102" s="165">
        <f t="shared" si="1"/>
        <v>320</v>
      </c>
    </row>
    <row r="103" spans="1:10">
      <c r="A103" s="227" t="s">
        <v>599</v>
      </c>
      <c r="B103" s="228"/>
      <c r="C103" s="227" t="s">
        <v>600</v>
      </c>
      <c r="D103" s="228"/>
      <c r="E103" s="228"/>
      <c r="F103" s="228"/>
      <c r="G103" s="229" t="s">
        <v>601</v>
      </c>
      <c r="H103" s="230"/>
      <c r="I103" s="237">
        <v>1</v>
      </c>
      <c r="J103" s="165">
        <f t="shared" si="1"/>
        <v>125.41</v>
      </c>
    </row>
    <row r="104" spans="1:10">
      <c r="A104" s="227" t="s">
        <v>602</v>
      </c>
      <c r="B104" s="228"/>
      <c r="C104" s="227" t="s">
        <v>603</v>
      </c>
      <c r="D104" s="228"/>
      <c r="E104" s="228"/>
      <c r="F104" s="228"/>
      <c r="G104" s="229" t="s">
        <v>604</v>
      </c>
      <c r="H104" s="230"/>
      <c r="I104" s="237">
        <v>13</v>
      </c>
      <c r="J104" s="165">
        <f t="shared" si="1"/>
        <v>54.08</v>
      </c>
    </row>
    <row r="105" spans="1:10">
      <c r="A105" s="227" t="s">
        <v>605</v>
      </c>
      <c r="B105" s="228"/>
      <c r="C105" s="227" t="s">
        <v>606</v>
      </c>
      <c r="D105" s="228"/>
      <c r="E105" s="228"/>
      <c r="F105" s="228"/>
      <c r="G105" s="229" t="s">
        <v>607</v>
      </c>
      <c r="H105" s="230"/>
      <c r="I105" s="237">
        <v>7</v>
      </c>
      <c r="J105" s="165">
        <f t="shared" si="1"/>
        <v>664.93</v>
      </c>
    </row>
    <row r="106" spans="1:10">
      <c r="A106" s="227" t="s">
        <v>608</v>
      </c>
      <c r="B106" s="228"/>
      <c r="C106" s="227" t="s">
        <v>609</v>
      </c>
      <c r="D106" s="228"/>
      <c r="E106" s="228"/>
      <c r="F106" s="228"/>
      <c r="G106" s="229" t="s">
        <v>610</v>
      </c>
      <c r="H106" s="230"/>
      <c r="I106" s="237">
        <v>2</v>
      </c>
      <c r="J106" s="165">
        <f t="shared" si="1"/>
        <v>250</v>
      </c>
    </row>
    <row r="107" spans="1:10">
      <c r="A107" s="227" t="s">
        <v>611</v>
      </c>
      <c r="B107" s="228"/>
      <c r="C107" s="227" t="s">
        <v>612</v>
      </c>
      <c r="D107" s="228"/>
      <c r="E107" s="228"/>
      <c r="F107" s="228"/>
      <c r="G107" s="229" t="s">
        <v>613</v>
      </c>
      <c r="H107" s="230"/>
      <c r="I107" s="237">
        <v>3</v>
      </c>
      <c r="J107" s="165">
        <f t="shared" si="1"/>
        <v>660</v>
      </c>
    </row>
    <row r="108" spans="1:10">
      <c r="A108" s="227" t="s">
        <v>614</v>
      </c>
      <c r="B108" s="228"/>
      <c r="C108" s="235" t="s">
        <v>615</v>
      </c>
      <c r="D108" s="228"/>
      <c r="E108" s="228"/>
      <c r="F108" s="228"/>
      <c r="G108" s="229" t="s">
        <v>616</v>
      </c>
      <c r="H108" s="230"/>
      <c r="I108" s="237">
        <v>1</v>
      </c>
      <c r="J108" s="165">
        <f t="shared" si="1"/>
        <v>440</v>
      </c>
    </row>
    <row r="109" spans="1:10">
      <c r="A109" s="227" t="s">
        <v>617</v>
      </c>
      <c r="B109" s="228"/>
      <c r="C109" s="227" t="s">
        <v>618</v>
      </c>
      <c r="D109" s="228"/>
      <c r="E109" s="228"/>
      <c r="F109" s="228"/>
      <c r="G109" s="229" t="s">
        <v>619</v>
      </c>
      <c r="H109" s="230"/>
      <c r="I109" s="237">
        <v>1</v>
      </c>
      <c r="J109" s="165">
        <f t="shared" si="1"/>
        <v>410</v>
      </c>
    </row>
    <row r="110" spans="1:10">
      <c r="A110" s="227" t="s">
        <v>620</v>
      </c>
      <c r="B110" s="228"/>
      <c r="C110" s="227" t="s">
        <v>621</v>
      </c>
      <c r="D110" s="228"/>
      <c r="E110" s="228"/>
      <c r="F110" s="228"/>
      <c r="G110" s="229" t="s">
        <v>521</v>
      </c>
      <c r="H110" s="230"/>
      <c r="I110" s="237">
        <v>1</v>
      </c>
      <c r="J110" s="165">
        <f t="shared" si="1"/>
        <v>325</v>
      </c>
    </row>
    <row r="111" spans="1:10">
      <c r="A111" s="227" t="s">
        <v>622</v>
      </c>
      <c r="B111" s="228"/>
      <c r="C111" s="227" t="s">
        <v>623</v>
      </c>
      <c r="D111" s="228"/>
      <c r="E111" s="228"/>
      <c r="F111" s="228"/>
      <c r="G111" s="229" t="s">
        <v>624</v>
      </c>
      <c r="H111" s="230"/>
      <c r="I111" s="237">
        <v>1</v>
      </c>
      <c r="J111" s="165">
        <f t="shared" si="1"/>
        <v>32.47</v>
      </c>
    </row>
    <row r="112" spans="1:10">
      <c r="A112" s="227" t="s">
        <v>625</v>
      </c>
      <c r="B112" s="228"/>
      <c r="C112" s="227" t="s">
        <v>626</v>
      </c>
      <c r="D112" s="228"/>
      <c r="E112" s="228"/>
      <c r="F112" s="228"/>
      <c r="G112" s="229" t="s">
        <v>624</v>
      </c>
      <c r="H112" s="230"/>
      <c r="I112" s="237">
        <v>1</v>
      </c>
      <c r="J112" s="165">
        <f t="shared" si="1"/>
        <v>32.47</v>
      </c>
    </row>
    <row r="113" spans="1:10">
      <c r="A113" s="227" t="s">
        <v>627</v>
      </c>
      <c r="B113" s="228"/>
      <c r="C113" s="227" t="s">
        <v>628</v>
      </c>
      <c r="D113" s="228"/>
      <c r="E113" s="228"/>
      <c r="F113" s="228"/>
      <c r="G113" s="229" t="s">
        <v>629</v>
      </c>
      <c r="H113" s="230"/>
      <c r="I113" s="237">
        <v>4</v>
      </c>
      <c r="J113" s="165">
        <f t="shared" si="1"/>
        <v>116.08</v>
      </c>
    </row>
    <row r="114" spans="1:10">
      <c r="A114" s="227" t="s">
        <v>630</v>
      </c>
      <c r="B114" s="228"/>
      <c r="C114" s="227" t="s">
        <v>631</v>
      </c>
      <c r="D114" s="228"/>
      <c r="E114" s="228"/>
      <c r="F114" s="228"/>
      <c r="G114" s="229" t="s">
        <v>632</v>
      </c>
      <c r="H114" s="230"/>
      <c r="I114" s="237">
        <v>1</v>
      </c>
      <c r="J114" s="165">
        <f t="shared" si="1"/>
        <v>794.56</v>
      </c>
    </row>
    <row r="115" spans="1:10">
      <c r="A115" s="227" t="s">
        <v>633</v>
      </c>
      <c r="B115" s="228"/>
      <c r="C115" s="227" t="s">
        <v>634</v>
      </c>
      <c r="D115" s="228"/>
      <c r="E115" s="228"/>
      <c r="F115" s="228"/>
      <c r="G115" s="229" t="s">
        <v>635</v>
      </c>
      <c r="H115" s="230"/>
      <c r="I115" s="237">
        <v>2</v>
      </c>
      <c r="J115" s="165">
        <f t="shared" si="1"/>
        <v>178</v>
      </c>
    </row>
    <row r="116" spans="1:10">
      <c r="A116" s="227" t="s">
        <v>636</v>
      </c>
      <c r="B116" s="228"/>
      <c r="C116" s="235" t="s">
        <v>637</v>
      </c>
      <c r="D116" s="228"/>
      <c r="E116" s="228"/>
      <c r="F116" s="228"/>
      <c r="G116" s="229" t="s">
        <v>638</v>
      </c>
      <c r="H116" s="230"/>
      <c r="I116" s="237">
        <v>1</v>
      </c>
      <c r="J116" s="165">
        <f t="shared" si="1"/>
        <v>15</v>
      </c>
    </row>
    <row r="117" spans="1:10">
      <c r="A117" s="227" t="s">
        <v>639</v>
      </c>
      <c r="B117" s="228"/>
      <c r="C117" s="227" t="s">
        <v>640</v>
      </c>
      <c r="D117" s="228"/>
      <c r="E117" s="228"/>
      <c r="F117" s="228"/>
      <c r="G117" s="229" t="s">
        <v>641</v>
      </c>
      <c r="H117" s="230"/>
      <c r="I117" s="237">
        <v>11</v>
      </c>
      <c r="J117" s="165">
        <f t="shared" si="1"/>
        <v>279.95</v>
      </c>
    </row>
    <row r="118" spans="1:10">
      <c r="A118" s="227" t="s">
        <v>642</v>
      </c>
      <c r="B118" s="228"/>
      <c r="C118" s="227" t="s">
        <v>643</v>
      </c>
      <c r="D118" s="228"/>
      <c r="E118" s="228"/>
      <c r="F118" s="228"/>
      <c r="G118" s="229" t="s">
        <v>641</v>
      </c>
      <c r="H118" s="230"/>
      <c r="I118" s="237">
        <v>8</v>
      </c>
      <c r="J118" s="165">
        <f t="shared" si="1"/>
        <v>203.6</v>
      </c>
    </row>
    <row r="119" spans="1:10">
      <c r="A119" s="227" t="s">
        <v>644</v>
      </c>
      <c r="B119" s="228"/>
      <c r="C119" s="227" t="s">
        <v>645</v>
      </c>
      <c r="D119" s="228"/>
      <c r="E119" s="228"/>
      <c r="F119" s="228"/>
      <c r="G119" s="229" t="s">
        <v>646</v>
      </c>
      <c r="H119" s="230"/>
      <c r="I119" s="237">
        <v>1</v>
      </c>
      <c r="J119" s="165">
        <f t="shared" si="1"/>
        <v>676.5</v>
      </c>
    </row>
    <row r="120" spans="1:10">
      <c r="A120" s="227" t="s">
        <v>647</v>
      </c>
      <c r="B120" s="228"/>
      <c r="C120" s="227" t="s">
        <v>648</v>
      </c>
      <c r="D120" s="228"/>
      <c r="E120" s="228"/>
      <c r="F120" s="228"/>
      <c r="G120" s="229" t="s">
        <v>494</v>
      </c>
      <c r="H120" s="230"/>
      <c r="I120" s="237">
        <v>1</v>
      </c>
      <c r="J120" s="165">
        <f t="shared" si="1"/>
        <v>582</v>
      </c>
    </row>
    <row r="121" spans="1:10">
      <c r="A121" s="227" t="s">
        <v>649</v>
      </c>
      <c r="B121" s="228"/>
      <c r="C121" s="227" t="s">
        <v>650</v>
      </c>
      <c r="D121" s="228"/>
      <c r="E121" s="228"/>
      <c r="F121" s="228"/>
      <c r="G121" s="229" t="s">
        <v>651</v>
      </c>
      <c r="H121" s="230"/>
      <c r="I121" s="237">
        <v>2</v>
      </c>
      <c r="J121" s="165">
        <f t="shared" si="1"/>
        <v>1106</v>
      </c>
    </row>
    <row r="122" spans="1:10">
      <c r="A122" s="227" t="s">
        <v>652</v>
      </c>
      <c r="B122" s="228"/>
      <c r="C122" s="227" t="s">
        <v>653</v>
      </c>
      <c r="D122" s="228"/>
      <c r="E122" s="228"/>
      <c r="F122" s="228"/>
      <c r="G122" s="229" t="s">
        <v>654</v>
      </c>
      <c r="H122" s="230"/>
      <c r="I122" s="237">
        <v>2</v>
      </c>
      <c r="J122" s="165">
        <f t="shared" si="1"/>
        <v>590</v>
      </c>
    </row>
    <row r="123" spans="1:10">
      <c r="A123" s="227" t="s">
        <v>655</v>
      </c>
      <c r="B123" s="228"/>
      <c r="C123" s="227" t="s">
        <v>656</v>
      </c>
      <c r="D123" s="228"/>
      <c r="E123" s="228"/>
      <c r="F123" s="228"/>
      <c r="G123" s="229" t="s">
        <v>657</v>
      </c>
      <c r="H123" s="230"/>
      <c r="I123" s="237">
        <v>1</v>
      </c>
      <c r="J123" s="165">
        <f t="shared" si="1"/>
        <v>610</v>
      </c>
    </row>
    <row r="124" spans="1:10">
      <c r="I124" s="151" t="s">
        <v>658</v>
      </c>
      <c r="J124" s="9">
        <f>SUM(J7:J123)</f>
        <v>37686.260000000009</v>
      </c>
    </row>
    <row r="125" spans="1:10">
      <c r="A125" s="236" t="s">
        <v>659</v>
      </c>
      <c r="B125" s="236"/>
      <c r="C125" s="154">
        <v>0.1</v>
      </c>
      <c r="I125" s="151" t="s">
        <v>660</v>
      </c>
      <c r="J125" s="9">
        <f>IF(B127&gt;300,J124-(J124*0.1))</f>
        <v>33917.634000000005</v>
      </c>
    </row>
    <row r="126" spans="1:10">
      <c r="A126" s="106"/>
      <c r="I126" s="151" t="s">
        <v>661</v>
      </c>
      <c r="J126" s="9">
        <f>J125*0.16</f>
        <v>5426.8214400000006</v>
      </c>
    </row>
    <row r="127" spans="1:10">
      <c r="A127" s="151" t="s">
        <v>662</v>
      </c>
      <c r="B127" s="152">
        <f>SUM(I7:I123)</f>
        <v>356</v>
      </c>
      <c r="I127" s="151" t="s">
        <v>250</v>
      </c>
      <c r="J127" s="9">
        <f>J124+J126</f>
        <v>43113.081440000009</v>
      </c>
    </row>
  </sheetData>
  <mergeCells count="358">
    <mergeCell ref="A2:J3"/>
    <mergeCell ref="A125:B125"/>
    <mergeCell ref="A122:B122"/>
    <mergeCell ref="C122:F122"/>
    <mergeCell ref="G122:H122"/>
    <mergeCell ref="A123:B123"/>
    <mergeCell ref="C123:F123"/>
    <mergeCell ref="G123:H123"/>
    <mergeCell ref="A120:B120"/>
    <mergeCell ref="C120:F120"/>
    <mergeCell ref="G120:H120"/>
    <mergeCell ref="A121:B121"/>
    <mergeCell ref="C121:F121"/>
    <mergeCell ref="G121:H121"/>
    <mergeCell ref="A118:B118"/>
    <mergeCell ref="C118:F118"/>
    <mergeCell ref="G118:H118"/>
    <mergeCell ref="A119:B119"/>
    <mergeCell ref="C119:F119"/>
    <mergeCell ref="G119:H119"/>
    <mergeCell ref="A116:B116"/>
    <mergeCell ref="C116:F116"/>
    <mergeCell ref="G116:H116"/>
    <mergeCell ref="A117:B117"/>
    <mergeCell ref="C117:F117"/>
    <mergeCell ref="G117:H117"/>
    <mergeCell ref="A114:B114"/>
    <mergeCell ref="C114:F114"/>
    <mergeCell ref="G114:H114"/>
    <mergeCell ref="A115:B115"/>
    <mergeCell ref="C115:F115"/>
    <mergeCell ref="G115:H115"/>
    <mergeCell ref="A112:B112"/>
    <mergeCell ref="C112:F112"/>
    <mergeCell ref="G112:H112"/>
    <mergeCell ref="A113:B113"/>
    <mergeCell ref="C113:F113"/>
    <mergeCell ref="G113:H113"/>
    <mergeCell ref="A110:B110"/>
    <mergeCell ref="C110:F110"/>
    <mergeCell ref="G110:H110"/>
    <mergeCell ref="A111:B111"/>
    <mergeCell ref="C111:F111"/>
    <mergeCell ref="G111:H111"/>
    <mergeCell ref="A108:B108"/>
    <mergeCell ref="C108:F108"/>
    <mergeCell ref="G108:H108"/>
    <mergeCell ref="A109:B109"/>
    <mergeCell ref="C109:F109"/>
    <mergeCell ref="G109:H109"/>
    <mergeCell ref="A106:B106"/>
    <mergeCell ref="C106:F106"/>
    <mergeCell ref="G106:H106"/>
    <mergeCell ref="A107:B107"/>
    <mergeCell ref="C107:F107"/>
    <mergeCell ref="G107:H107"/>
    <mergeCell ref="A104:B104"/>
    <mergeCell ref="C104:F104"/>
    <mergeCell ref="G104:H104"/>
    <mergeCell ref="A105:B105"/>
    <mergeCell ref="C105:F105"/>
    <mergeCell ref="G105:H105"/>
    <mergeCell ref="A102:B102"/>
    <mergeCell ref="C102:F102"/>
    <mergeCell ref="G102:H102"/>
    <mergeCell ref="A103:B103"/>
    <mergeCell ref="C103:F103"/>
    <mergeCell ref="G103:H103"/>
    <mergeCell ref="A100:B100"/>
    <mergeCell ref="C100:F100"/>
    <mergeCell ref="G100:H100"/>
    <mergeCell ref="A101:B101"/>
    <mergeCell ref="C101:F101"/>
    <mergeCell ref="G101:H101"/>
    <mergeCell ref="A98:B98"/>
    <mergeCell ref="C98:F98"/>
    <mergeCell ref="G98:H98"/>
    <mergeCell ref="A99:B99"/>
    <mergeCell ref="C99:F99"/>
    <mergeCell ref="G99:H99"/>
    <mergeCell ref="A96:B96"/>
    <mergeCell ref="C96:F96"/>
    <mergeCell ref="G96:H96"/>
    <mergeCell ref="A97:B97"/>
    <mergeCell ref="C97:F97"/>
    <mergeCell ref="G97:H97"/>
    <mergeCell ref="A94:B94"/>
    <mergeCell ref="C94:F94"/>
    <mergeCell ref="G94:H94"/>
    <mergeCell ref="A95:B95"/>
    <mergeCell ref="C95:F95"/>
    <mergeCell ref="G95:H95"/>
    <mergeCell ref="A92:B92"/>
    <mergeCell ref="C92:F92"/>
    <mergeCell ref="G92:H92"/>
    <mergeCell ref="A93:B93"/>
    <mergeCell ref="C93:F93"/>
    <mergeCell ref="G93:H93"/>
    <mergeCell ref="A90:B90"/>
    <mergeCell ref="C90:F90"/>
    <mergeCell ref="G90:H90"/>
    <mergeCell ref="A91:B91"/>
    <mergeCell ref="C91:F91"/>
    <mergeCell ref="G91:H91"/>
    <mergeCell ref="A88:B88"/>
    <mergeCell ref="C88:F88"/>
    <mergeCell ref="G88:H88"/>
    <mergeCell ref="A89:B89"/>
    <mergeCell ref="C89:F89"/>
    <mergeCell ref="G89:H89"/>
    <mergeCell ref="A86:B86"/>
    <mergeCell ref="C86:F86"/>
    <mergeCell ref="G86:H86"/>
    <mergeCell ref="A87:B87"/>
    <mergeCell ref="C87:F87"/>
    <mergeCell ref="G87:H87"/>
    <mergeCell ref="A84:B84"/>
    <mergeCell ref="C84:F84"/>
    <mergeCell ref="G84:H84"/>
    <mergeCell ref="A85:B85"/>
    <mergeCell ref="C85:F85"/>
    <mergeCell ref="G85:H85"/>
    <mergeCell ref="A82:B82"/>
    <mergeCell ref="C82:F82"/>
    <mergeCell ref="G82:H82"/>
    <mergeCell ref="A83:B83"/>
    <mergeCell ref="C83:F83"/>
    <mergeCell ref="G83:H83"/>
    <mergeCell ref="A80:B80"/>
    <mergeCell ref="C80:F80"/>
    <mergeCell ref="G80:H80"/>
    <mergeCell ref="A81:B81"/>
    <mergeCell ref="C81:F81"/>
    <mergeCell ref="G81:H81"/>
    <mergeCell ref="A78:B78"/>
    <mergeCell ref="C78:F78"/>
    <mergeCell ref="G78:H78"/>
    <mergeCell ref="A79:B79"/>
    <mergeCell ref="C79:F79"/>
    <mergeCell ref="G79:H79"/>
    <mergeCell ref="A76:B76"/>
    <mergeCell ref="C76:F76"/>
    <mergeCell ref="G76:H76"/>
    <mergeCell ref="A77:B77"/>
    <mergeCell ref="C77:F77"/>
    <mergeCell ref="G77:H77"/>
    <mergeCell ref="A74:B74"/>
    <mergeCell ref="C74:F74"/>
    <mergeCell ref="G74:H74"/>
    <mergeCell ref="A75:B75"/>
    <mergeCell ref="C75:F75"/>
    <mergeCell ref="G75:H75"/>
    <mergeCell ref="A72:B72"/>
    <mergeCell ref="C72:F72"/>
    <mergeCell ref="G72:H72"/>
    <mergeCell ref="A73:B73"/>
    <mergeCell ref="C73:F73"/>
    <mergeCell ref="G73:H73"/>
    <mergeCell ref="A70:B70"/>
    <mergeCell ref="C70:F70"/>
    <mergeCell ref="G70:H70"/>
    <mergeCell ref="A71:B71"/>
    <mergeCell ref="C71:F71"/>
    <mergeCell ref="G71:H71"/>
    <mergeCell ref="A68:B68"/>
    <mergeCell ref="C68:F68"/>
    <mergeCell ref="G68:H68"/>
    <mergeCell ref="A69:B69"/>
    <mergeCell ref="C69:F69"/>
    <mergeCell ref="G69:H69"/>
    <mergeCell ref="A66:B66"/>
    <mergeCell ref="C66:F66"/>
    <mergeCell ref="G66:H66"/>
    <mergeCell ref="A67:B67"/>
    <mergeCell ref="C67:F67"/>
    <mergeCell ref="G67:H67"/>
    <mergeCell ref="A64:B64"/>
    <mergeCell ref="C64:F64"/>
    <mergeCell ref="G64:H64"/>
    <mergeCell ref="A65:B65"/>
    <mergeCell ref="C65:F65"/>
    <mergeCell ref="G65:H65"/>
    <mergeCell ref="A62:B62"/>
    <mergeCell ref="C62:F62"/>
    <mergeCell ref="G62:H62"/>
    <mergeCell ref="A63:B63"/>
    <mergeCell ref="C63:F63"/>
    <mergeCell ref="G63:H63"/>
    <mergeCell ref="A60:B60"/>
    <mergeCell ref="C60:F60"/>
    <mergeCell ref="G60:H60"/>
    <mergeCell ref="A61:B61"/>
    <mergeCell ref="C61:F61"/>
    <mergeCell ref="G61:H61"/>
    <mergeCell ref="A58:B58"/>
    <mergeCell ref="C58:F58"/>
    <mergeCell ref="G58:H58"/>
    <mergeCell ref="A59:B59"/>
    <mergeCell ref="C59:F59"/>
    <mergeCell ref="G59:H59"/>
    <mergeCell ref="A56:B56"/>
    <mergeCell ref="C56:F56"/>
    <mergeCell ref="G56:H56"/>
    <mergeCell ref="A57:B57"/>
    <mergeCell ref="C57:F57"/>
    <mergeCell ref="G57:H57"/>
    <mergeCell ref="A54:B54"/>
    <mergeCell ref="C54:F54"/>
    <mergeCell ref="G54:H54"/>
    <mergeCell ref="A55:B55"/>
    <mergeCell ref="C55:F55"/>
    <mergeCell ref="G55:H55"/>
    <mergeCell ref="A52:B52"/>
    <mergeCell ref="C52:F52"/>
    <mergeCell ref="G52:H52"/>
    <mergeCell ref="A53:B53"/>
    <mergeCell ref="C53:F53"/>
    <mergeCell ref="G53:H53"/>
    <mergeCell ref="A50:B50"/>
    <mergeCell ref="C50:F50"/>
    <mergeCell ref="G50:H50"/>
    <mergeCell ref="A51:B51"/>
    <mergeCell ref="C51:F51"/>
    <mergeCell ref="G51:H51"/>
    <mergeCell ref="A48:B48"/>
    <mergeCell ref="C48:F48"/>
    <mergeCell ref="G48:H48"/>
    <mergeCell ref="A49:B49"/>
    <mergeCell ref="C49:F49"/>
    <mergeCell ref="G49:H49"/>
    <mergeCell ref="A46:B46"/>
    <mergeCell ref="C46:F46"/>
    <mergeCell ref="G46:H46"/>
    <mergeCell ref="A47:B47"/>
    <mergeCell ref="C47:F47"/>
    <mergeCell ref="G47:H47"/>
    <mergeCell ref="A44:B44"/>
    <mergeCell ref="C44:F44"/>
    <mergeCell ref="G44:H44"/>
    <mergeCell ref="A45:B45"/>
    <mergeCell ref="C45:F45"/>
    <mergeCell ref="G45:H45"/>
    <mergeCell ref="A42:B42"/>
    <mergeCell ref="C42:F42"/>
    <mergeCell ref="G42:H42"/>
    <mergeCell ref="A43:B43"/>
    <mergeCell ref="C43:F43"/>
    <mergeCell ref="G43:H43"/>
    <mergeCell ref="A40:B40"/>
    <mergeCell ref="C40:F40"/>
    <mergeCell ref="G40:H40"/>
    <mergeCell ref="A41:B41"/>
    <mergeCell ref="C41:F41"/>
    <mergeCell ref="G41:H41"/>
    <mergeCell ref="A38:B38"/>
    <mergeCell ref="C38:F38"/>
    <mergeCell ref="G38:H38"/>
    <mergeCell ref="A39:B39"/>
    <mergeCell ref="C39:F39"/>
    <mergeCell ref="G39:H39"/>
    <mergeCell ref="A36:B36"/>
    <mergeCell ref="C36:F36"/>
    <mergeCell ref="G36:H36"/>
    <mergeCell ref="A37:B37"/>
    <mergeCell ref="C37:F37"/>
    <mergeCell ref="G37:H37"/>
    <mergeCell ref="A34:B34"/>
    <mergeCell ref="C34:F34"/>
    <mergeCell ref="G34:H34"/>
    <mergeCell ref="A35:B35"/>
    <mergeCell ref="C35:F35"/>
    <mergeCell ref="G35:H35"/>
    <mergeCell ref="A32:B32"/>
    <mergeCell ref="C32:F32"/>
    <mergeCell ref="G32:H32"/>
    <mergeCell ref="A33:B33"/>
    <mergeCell ref="C33:F33"/>
    <mergeCell ref="G33:H33"/>
    <mergeCell ref="A30:B30"/>
    <mergeCell ref="C30:F30"/>
    <mergeCell ref="G30:H30"/>
    <mergeCell ref="A31:B31"/>
    <mergeCell ref="C31:F31"/>
    <mergeCell ref="G31:H31"/>
    <mergeCell ref="A28:B28"/>
    <mergeCell ref="C28:F28"/>
    <mergeCell ref="G28:H28"/>
    <mergeCell ref="A29:B29"/>
    <mergeCell ref="C29:F29"/>
    <mergeCell ref="G29:H29"/>
    <mergeCell ref="A26:B26"/>
    <mergeCell ref="C26:F26"/>
    <mergeCell ref="G26:H26"/>
    <mergeCell ref="A27:B27"/>
    <mergeCell ref="C27:F27"/>
    <mergeCell ref="G27:H27"/>
    <mergeCell ref="A24:B24"/>
    <mergeCell ref="C24:F24"/>
    <mergeCell ref="G24:H24"/>
    <mergeCell ref="A25:B25"/>
    <mergeCell ref="C25:F25"/>
    <mergeCell ref="G25:H25"/>
    <mergeCell ref="A22:B22"/>
    <mergeCell ref="C22:F22"/>
    <mergeCell ref="G22:H22"/>
    <mergeCell ref="A23:B23"/>
    <mergeCell ref="C23:F23"/>
    <mergeCell ref="G23:H23"/>
    <mergeCell ref="A20:B20"/>
    <mergeCell ref="C20:F20"/>
    <mergeCell ref="G20:H20"/>
    <mergeCell ref="A21:B21"/>
    <mergeCell ref="C21:F21"/>
    <mergeCell ref="G21:H21"/>
    <mergeCell ref="A18:B18"/>
    <mergeCell ref="C18:F18"/>
    <mergeCell ref="G18:H18"/>
    <mergeCell ref="A19:B19"/>
    <mergeCell ref="C19:F19"/>
    <mergeCell ref="G19:H19"/>
    <mergeCell ref="A16:B16"/>
    <mergeCell ref="C16:F16"/>
    <mergeCell ref="G16:H16"/>
    <mergeCell ref="A17:B17"/>
    <mergeCell ref="C17:F17"/>
    <mergeCell ref="G17:H17"/>
    <mergeCell ref="A14:B14"/>
    <mergeCell ref="C14:F14"/>
    <mergeCell ref="G14:H14"/>
    <mergeCell ref="A15:B15"/>
    <mergeCell ref="C15:F15"/>
    <mergeCell ref="G15:H15"/>
    <mergeCell ref="A12:B12"/>
    <mergeCell ref="C12:F12"/>
    <mergeCell ref="G12:H12"/>
    <mergeCell ref="A13:B13"/>
    <mergeCell ref="C13:F13"/>
    <mergeCell ref="G13:H13"/>
    <mergeCell ref="A11:B11"/>
    <mergeCell ref="C11:F11"/>
    <mergeCell ref="G11:H11"/>
    <mergeCell ref="A8:B8"/>
    <mergeCell ref="C8:F8"/>
    <mergeCell ref="G8:H8"/>
    <mergeCell ref="A9:B9"/>
    <mergeCell ref="C9:F9"/>
    <mergeCell ref="G9:H9"/>
    <mergeCell ref="C5:F6"/>
    <mergeCell ref="G5:H6"/>
    <mergeCell ref="I5:I6"/>
    <mergeCell ref="J5:J6"/>
    <mergeCell ref="A7:B7"/>
    <mergeCell ref="C7:F7"/>
    <mergeCell ref="G7:H7"/>
    <mergeCell ref="A5:B6"/>
    <mergeCell ref="A10:B10"/>
    <mergeCell ref="C10:F10"/>
    <mergeCell ref="G10:H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4:G23"/>
  <sheetViews>
    <sheetView workbookViewId="0">
      <selection activeCell="G38" sqref="G38"/>
    </sheetView>
  </sheetViews>
  <sheetFormatPr baseColWidth="10" defaultColWidth="11.42578125" defaultRowHeight="12.75"/>
  <cols>
    <col min="1" max="1" width="25.7109375" customWidth="1"/>
    <col min="2" max="2" width="15.42578125" customWidth="1"/>
    <col min="3" max="3" width="14.42578125" customWidth="1"/>
    <col min="4" max="4" width="13.85546875" customWidth="1"/>
    <col min="6" max="6" width="14.7109375" bestFit="1" customWidth="1"/>
    <col min="7" max="7" width="14.7109375" customWidth="1"/>
  </cols>
  <sheetData>
    <row r="4" spans="1:7" ht="13.5" thickBot="1"/>
    <row r="5" spans="1:7" ht="16.5" thickBot="1">
      <c r="A5" s="186" t="s">
        <v>18</v>
      </c>
      <c r="B5" s="186"/>
      <c r="C5" s="186"/>
      <c r="D5" s="186"/>
      <c r="E5" s="186"/>
      <c r="F5" s="186"/>
      <c r="G5" s="186"/>
    </row>
    <row r="6" spans="1:7" ht="48.75" thickTop="1" thickBot="1">
      <c r="A6" s="114" t="s">
        <v>19</v>
      </c>
      <c r="B6" s="114" t="s">
        <v>20</v>
      </c>
      <c r="C6" s="114" t="s">
        <v>21</v>
      </c>
      <c r="D6" s="114" t="s">
        <v>22</v>
      </c>
      <c r="E6" s="114" t="s">
        <v>23</v>
      </c>
      <c r="F6" s="114" t="s">
        <v>24</v>
      </c>
      <c r="G6" s="114" t="s">
        <v>25</v>
      </c>
    </row>
    <row r="7" spans="1:7" ht="17.25" thickTop="1" thickBot="1">
      <c r="A7" s="114" t="s">
        <v>26</v>
      </c>
      <c r="B7" s="115">
        <v>350</v>
      </c>
      <c r="C7" s="115">
        <v>200</v>
      </c>
      <c r="D7" s="115">
        <v>450</v>
      </c>
      <c r="E7" s="116">
        <f>SUM(B7:D7)</f>
        <v>1000</v>
      </c>
      <c r="F7" s="116">
        <f>AVERAGE(B7:D7)</f>
        <v>333.33333333333331</v>
      </c>
      <c r="G7" s="116" t="str">
        <f>IF(E7&gt;2000, "Mayor", "Menor")</f>
        <v>Menor</v>
      </c>
    </row>
    <row r="8" spans="1:7" ht="17.25" thickTop="1" thickBot="1">
      <c r="A8" s="114" t="s">
        <v>27</v>
      </c>
      <c r="B8" s="115">
        <v>100</v>
      </c>
      <c r="C8" s="115">
        <v>95</v>
      </c>
      <c r="D8" s="115">
        <v>110</v>
      </c>
      <c r="E8" s="116">
        <f t="shared" ref="E8:E10" si="0">SUM(B8:D8)</f>
        <v>305</v>
      </c>
      <c r="F8" s="116">
        <f t="shared" ref="F8:F10" si="1">AVERAGE(B8:D8)</f>
        <v>101.66666666666667</v>
      </c>
      <c r="G8" s="116" t="str">
        <f t="shared" ref="G8:G10" si="2">IF(E8&gt;2000, "Mayor", "Menor")</f>
        <v>Menor</v>
      </c>
    </row>
    <row r="9" spans="1:7" ht="17.25" thickTop="1" thickBot="1">
      <c r="A9" s="114" t="s">
        <v>28</v>
      </c>
      <c r="B9" s="115">
        <v>658</v>
      </c>
      <c r="C9" s="115">
        <v>750</v>
      </c>
      <c r="D9" s="115">
        <v>460</v>
      </c>
      <c r="E9" s="116">
        <f t="shared" si="0"/>
        <v>1868</v>
      </c>
      <c r="F9" s="116">
        <f t="shared" si="1"/>
        <v>622.66666666666663</v>
      </c>
      <c r="G9" s="116" t="str">
        <f t="shared" si="2"/>
        <v>Menor</v>
      </c>
    </row>
    <row r="10" spans="1:7" ht="17.25" thickTop="1" thickBot="1">
      <c r="A10" s="114" t="s">
        <v>29</v>
      </c>
      <c r="B10" s="115">
        <v>1500</v>
      </c>
      <c r="C10" s="115">
        <v>1500</v>
      </c>
      <c r="D10" s="115">
        <v>1500</v>
      </c>
      <c r="E10" s="116">
        <f t="shared" si="0"/>
        <v>4500</v>
      </c>
      <c r="F10" s="116">
        <f t="shared" si="1"/>
        <v>1500</v>
      </c>
      <c r="G10" s="116" t="str">
        <f t="shared" si="2"/>
        <v>Mayor</v>
      </c>
    </row>
    <row r="11" spans="1:7" ht="17.25" thickTop="1" thickBot="1">
      <c r="A11" s="118" t="s">
        <v>30</v>
      </c>
      <c r="B11" s="117">
        <f>SUM(B7:B10)</f>
        <v>2608</v>
      </c>
      <c r="C11" s="117">
        <f>SUM(C7:C10)</f>
        <v>2545</v>
      </c>
      <c r="D11" s="117">
        <f>SUM(D7:D10)</f>
        <v>2520</v>
      </c>
      <c r="E11" s="110"/>
      <c r="F11" s="111"/>
      <c r="G11" s="111"/>
    </row>
    <row r="12" spans="1:7" ht="17.25" thickTop="1" thickBot="1">
      <c r="A12" s="118" t="s">
        <v>31</v>
      </c>
      <c r="B12" s="117">
        <f>MAX(B7:B10)</f>
        <v>1500</v>
      </c>
      <c r="C12" s="117">
        <f t="shared" ref="C12:D12" si="3">MAX(C7:C10)</f>
        <v>1500</v>
      </c>
      <c r="D12" s="117">
        <f t="shared" si="3"/>
        <v>1500</v>
      </c>
      <c r="E12" s="112"/>
      <c r="F12" s="113"/>
      <c r="G12" s="113"/>
    </row>
    <row r="13" spans="1:7" ht="17.25" thickTop="1" thickBot="1">
      <c r="A13" s="118" t="s">
        <v>32</v>
      </c>
      <c r="B13" s="117">
        <f>MIN(B7:B10)</f>
        <v>100</v>
      </c>
      <c r="C13" s="117">
        <f t="shared" ref="C13:D13" si="4">MIN(C7:C10)</f>
        <v>95</v>
      </c>
      <c r="D13" s="117">
        <f t="shared" si="4"/>
        <v>110</v>
      </c>
      <c r="E13" s="112"/>
      <c r="F13" s="113"/>
      <c r="G13" s="113"/>
    </row>
    <row r="14" spans="1:7" ht="28.5" customHeight="1" thickTop="1" thickBot="1">
      <c r="A14" s="118" t="s">
        <v>33</v>
      </c>
      <c r="B14" s="117">
        <f>COUNTIF(B7:B10,"&gt;300")</f>
        <v>3</v>
      </c>
      <c r="C14" s="117">
        <f t="shared" ref="C14:D14" si="5">COUNTIF(C7:C10,"&gt;300")</f>
        <v>2</v>
      </c>
      <c r="D14" s="117">
        <f t="shared" si="5"/>
        <v>3</v>
      </c>
      <c r="E14" s="112"/>
      <c r="F14" s="113"/>
      <c r="G14" s="113"/>
    </row>
    <row r="15" spans="1:7" ht="13.5" thickTop="1"/>
    <row r="17" spans="1:1">
      <c r="A17" s="29" t="s">
        <v>34</v>
      </c>
    </row>
    <row r="18" spans="1:1">
      <c r="A18" s="30" t="s">
        <v>35</v>
      </c>
    </row>
    <row r="19" spans="1:1">
      <c r="A19" s="30" t="s">
        <v>36</v>
      </c>
    </row>
    <row r="20" spans="1:1">
      <c r="A20" s="30" t="s">
        <v>37</v>
      </c>
    </row>
    <row r="21" spans="1:1">
      <c r="A21" s="30" t="s">
        <v>38</v>
      </c>
    </row>
    <row r="22" spans="1:1">
      <c r="A22" s="30" t="s">
        <v>39</v>
      </c>
    </row>
    <row r="23" spans="1:1">
      <c r="A23" s="31"/>
    </row>
  </sheetData>
  <mergeCells count="1">
    <mergeCell ref="A5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28"/>
  <sheetViews>
    <sheetView zoomScale="90" zoomScaleNormal="90" workbookViewId="0">
      <selection activeCell="G5" sqref="G5"/>
    </sheetView>
  </sheetViews>
  <sheetFormatPr baseColWidth="10" defaultColWidth="11.42578125" defaultRowHeight="12.75"/>
  <cols>
    <col min="1" max="1" width="22.85546875" customWidth="1"/>
    <col min="2" max="2" width="14.42578125" customWidth="1"/>
    <col min="3" max="3" width="14" customWidth="1"/>
    <col min="4" max="4" width="20.7109375" customWidth="1"/>
    <col min="6" max="6" width="6" customWidth="1"/>
    <col min="7" max="7" width="13.85546875" customWidth="1"/>
    <col min="8" max="8" width="16.140625" customWidth="1"/>
  </cols>
  <sheetData>
    <row r="1" spans="1:9" ht="29.25" customHeight="1">
      <c r="A1" s="187" t="s">
        <v>40</v>
      </c>
      <c r="B1" s="187"/>
      <c r="C1" s="187"/>
      <c r="D1" s="187"/>
      <c r="E1" s="187"/>
      <c r="F1" s="187"/>
      <c r="G1" s="187"/>
      <c r="H1" s="187"/>
    </row>
    <row r="2" spans="1:9" ht="13.5" thickBot="1">
      <c r="A2" s="189" t="s">
        <v>41</v>
      </c>
      <c r="B2" s="189"/>
      <c r="C2" s="189"/>
      <c r="D2" s="189"/>
      <c r="E2" s="189"/>
      <c r="F2" s="189"/>
      <c r="G2" s="189"/>
      <c r="H2" s="189"/>
      <c r="I2" s="106"/>
    </row>
    <row r="3" spans="1:9" ht="13.5" thickBot="1">
      <c r="A3" s="166"/>
      <c r="B3" s="166"/>
      <c r="C3" s="166"/>
      <c r="D3" s="166"/>
      <c r="E3" s="166"/>
      <c r="F3" s="166"/>
      <c r="G3" s="166"/>
      <c r="H3" s="166"/>
      <c r="I3" s="106"/>
    </row>
    <row r="4" spans="1:9" ht="30" customHeight="1" thickBot="1">
      <c r="A4" s="32" t="s">
        <v>42</v>
      </c>
      <c r="B4" s="149" t="s">
        <v>43</v>
      </c>
      <c r="C4" s="149" t="s">
        <v>44</v>
      </c>
      <c r="D4" s="149" t="s">
        <v>45</v>
      </c>
      <c r="E4" s="190" t="s">
        <v>46</v>
      </c>
      <c r="F4" s="191"/>
      <c r="G4" s="149" t="s">
        <v>47</v>
      </c>
      <c r="H4" s="33" t="s">
        <v>48</v>
      </c>
      <c r="I4" s="106"/>
    </row>
    <row r="5" spans="1:9" ht="13.5" thickBot="1">
      <c r="A5" s="34" t="s">
        <v>49</v>
      </c>
      <c r="B5" s="119">
        <v>120000</v>
      </c>
      <c r="C5" s="119">
        <v>150000</v>
      </c>
      <c r="D5" s="119">
        <v>180000</v>
      </c>
      <c r="E5" s="192" t="str">
        <f>IF(H5&gt;$B$12,"CUMPLIDO", "INCUMPLIDO")</f>
        <v>INCUMPLIDO</v>
      </c>
      <c r="F5" s="193"/>
      <c r="G5" s="120">
        <f>H5*$B$11</f>
        <v>9000</v>
      </c>
      <c r="H5" s="120">
        <f>SUM(B5:D5)</f>
        <v>450000</v>
      </c>
      <c r="I5" s="106"/>
    </row>
    <row r="6" spans="1:9" ht="13.5" thickBot="1">
      <c r="A6" s="34" t="s">
        <v>50</v>
      </c>
      <c r="B6" s="119">
        <v>220000</v>
      </c>
      <c r="C6" s="119">
        <v>180000</v>
      </c>
      <c r="D6" s="120">
        <f>H6-(B6+C6)</f>
        <v>220000</v>
      </c>
      <c r="E6" s="192" t="str">
        <f t="shared" ref="E6:E9" si="0">IF(H6&gt;$B$12,"CUMPLIDO", "INCUMPLIDO")</f>
        <v>CUMPLIDO</v>
      </c>
      <c r="F6" s="193"/>
      <c r="G6" s="120">
        <f t="shared" ref="G6:G9" si="1">H6*$B$11</f>
        <v>12400</v>
      </c>
      <c r="H6" s="119">
        <v>620000</v>
      </c>
      <c r="I6" s="106"/>
    </row>
    <row r="7" spans="1:9" ht="13.5" thickBot="1">
      <c r="A7" s="34" t="s">
        <v>51</v>
      </c>
      <c r="B7" s="119">
        <v>160000</v>
      </c>
      <c r="C7" s="120">
        <f>H7-(B7+D7)</f>
        <v>140000</v>
      </c>
      <c r="D7" s="119">
        <v>190000</v>
      </c>
      <c r="E7" s="192" t="str">
        <f t="shared" si="0"/>
        <v>INCUMPLIDO</v>
      </c>
      <c r="F7" s="193"/>
      <c r="G7" s="120">
        <f t="shared" si="1"/>
        <v>9800</v>
      </c>
      <c r="H7" s="119">
        <v>490000</v>
      </c>
      <c r="I7" s="106"/>
    </row>
    <row r="8" spans="1:9" ht="13.5" thickBot="1">
      <c r="A8" s="34" t="s">
        <v>52</v>
      </c>
      <c r="B8" s="120">
        <f>H8-(C8+D8)</f>
        <v>125000</v>
      </c>
      <c r="C8" s="119">
        <v>180000</v>
      </c>
      <c r="D8" s="119">
        <v>190000</v>
      </c>
      <c r="E8" s="192" t="str">
        <f t="shared" si="0"/>
        <v>INCUMPLIDO</v>
      </c>
      <c r="F8" s="193"/>
      <c r="G8" s="120">
        <f t="shared" si="1"/>
        <v>9900</v>
      </c>
      <c r="H8" s="119">
        <v>495000</v>
      </c>
      <c r="I8" s="106"/>
    </row>
    <row r="9" spans="1:9" ht="13.5" thickBot="1">
      <c r="A9" s="34" t="s">
        <v>53</v>
      </c>
      <c r="B9" s="119">
        <v>110000</v>
      </c>
      <c r="C9" s="119">
        <v>130000</v>
      </c>
      <c r="D9" s="119">
        <v>150000</v>
      </c>
      <c r="E9" s="192" t="str">
        <f t="shared" si="0"/>
        <v>INCUMPLIDO</v>
      </c>
      <c r="F9" s="193"/>
      <c r="G9" s="120">
        <f t="shared" si="1"/>
        <v>7800</v>
      </c>
      <c r="H9" s="120">
        <f>SUM(B9:D9)</f>
        <v>390000</v>
      </c>
      <c r="I9" s="106"/>
    </row>
    <row r="10" spans="1:9" ht="13.5" thickBot="1">
      <c r="A10" s="106"/>
      <c r="B10" s="106"/>
      <c r="C10" s="106"/>
      <c r="D10" s="106"/>
      <c r="E10" s="194"/>
      <c r="F10" s="194"/>
      <c r="G10" s="106"/>
      <c r="H10" s="106"/>
      <c r="I10" s="106"/>
    </row>
    <row r="11" spans="1:9" ht="13.5" thickBot="1">
      <c r="A11" s="35" t="s">
        <v>47</v>
      </c>
      <c r="B11" s="109">
        <v>0.02</v>
      </c>
      <c r="C11" s="167"/>
      <c r="D11" s="106"/>
      <c r="E11" s="188"/>
      <c r="F11" s="188"/>
      <c r="G11" s="106"/>
      <c r="H11" s="106"/>
      <c r="I11" s="106"/>
    </row>
    <row r="12" spans="1:9" ht="13.5" thickBot="1">
      <c r="A12" s="36" t="s">
        <v>54</v>
      </c>
      <c r="B12" s="121">
        <v>550000</v>
      </c>
      <c r="C12" s="106"/>
      <c r="D12" s="106"/>
      <c r="E12" s="188"/>
      <c r="F12" s="188"/>
      <c r="G12" s="106"/>
      <c r="H12" s="106"/>
      <c r="I12" s="106"/>
    </row>
    <row r="13" spans="1:9" ht="13.5" thickBot="1">
      <c r="A13" s="37"/>
      <c r="B13" s="168"/>
      <c r="C13" s="106"/>
      <c r="D13" s="106"/>
      <c r="E13" s="188"/>
      <c r="F13" s="188"/>
      <c r="G13" s="106"/>
      <c r="H13" s="106"/>
      <c r="I13" s="106"/>
    </row>
    <row r="14" spans="1:9" ht="13.5" thickBot="1">
      <c r="A14" s="35" t="s">
        <v>55</v>
      </c>
      <c r="B14" s="169">
        <f>AVERAGE(H5:H9)</f>
        <v>489000</v>
      </c>
      <c r="C14" s="106"/>
      <c r="D14" s="106"/>
      <c r="E14" s="188"/>
      <c r="F14" s="188"/>
      <c r="G14" s="106"/>
      <c r="H14" s="106"/>
      <c r="I14" s="106"/>
    </row>
    <row r="15" spans="1:9" ht="13.5" thickBot="1">
      <c r="A15" s="38" t="s">
        <v>56</v>
      </c>
      <c r="B15" s="170">
        <f>MAX(H5:H9)</f>
        <v>620000</v>
      </c>
      <c r="C15" s="106"/>
      <c r="D15" s="106"/>
      <c r="E15" s="188"/>
      <c r="F15" s="188"/>
      <c r="G15" s="106"/>
      <c r="H15" s="106"/>
      <c r="I15" s="106"/>
    </row>
    <row r="16" spans="1:9" ht="13.5" thickBot="1">
      <c r="A16" s="38" t="s">
        <v>57</v>
      </c>
      <c r="B16" s="170">
        <f>MIN(H5:H9)</f>
        <v>390000</v>
      </c>
      <c r="C16" s="106"/>
      <c r="D16" s="106"/>
      <c r="E16" s="188"/>
      <c r="F16" s="188"/>
      <c r="G16" s="106"/>
      <c r="H16" s="106"/>
      <c r="I16" s="106"/>
    </row>
    <row r="17" spans="1:12" ht="13.5" thickBot="1">
      <c r="A17" s="38" t="s">
        <v>58</v>
      </c>
      <c r="B17" s="171">
        <f>COUNTIF(E5:F9,"CUMPLIDO")</f>
        <v>1</v>
      </c>
      <c r="C17" s="106"/>
      <c r="D17" s="106"/>
      <c r="E17" s="188"/>
      <c r="F17" s="188"/>
      <c r="G17" s="106"/>
      <c r="H17" s="106"/>
      <c r="I17" s="106"/>
    </row>
    <row r="18" spans="1:12" ht="13.5" thickBot="1">
      <c r="A18" s="38" t="s">
        <v>59</v>
      </c>
      <c r="B18" s="171">
        <f>COUNTIF(E5:F9,"INCUMPLIDO")</f>
        <v>4</v>
      </c>
      <c r="C18" s="106"/>
      <c r="D18" s="106"/>
      <c r="E18" s="188"/>
      <c r="F18" s="188"/>
      <c r="G18" s="106"/>
      <c r="H18" s="106"/>
      <c r="I18" s="106"/>
      <c r="L18" s="17"/>
    </row>
    <row r="19" spans="1:12">
      <c r="A19" s="106"/>
      <c r="B19" s="106"/>
      <c r="C19" s="106"/>
      <c r="D19" s="106"/>
      <c r="E19" s="106"/>
      <c r="F19" s="106"/>
      <c r="G19" s="106"/>
      <c r="H19" s="106"/>
      <c r="I19" s="106"/>
    </row>
    <row r="20" spans="1:12">
      <c r="A20" s="106"/>
      <c r="B20" s="106"/>
      <c r="C20" s="106"/>
      <c r="D20" s="106"/>
      <c r="E20" s="106"/>
      <c r="F20" s="106"/>
      <c r="G20" s="106"/>
      <c r="H20" s="106"/>
      <c r="I20" s="106"/>
    </row>
    <row r="21" spans="1:12">
      <c r="A21" s="39" t="s">
        <v>60</v>
      </c>
      <c r="B21" s="106"/>
      <c r="C21" s="106"/>
      <c r="D21" s="106"/>
      <c r="E21" s="106"/>
      <c r="F21" s="106"/>
      <c r="G21" s="106"/>
      <c r="H21" s="106"/>
      <c r="I21" s="106"/>
    </row>
    <row r="22" spans="1:12">
      <c r="A22" s="195" t="s">
        <v>61</v>
      </c>
      <c r="B22" s="195"/>
      <c r="C22" s="195"/>
      <c r="D22" s="195"/>
      <c r="E22" s="195"/>
      <c r="F22" s="195"/>
      <c r="G22" s="195"/>
      <c r="H22" s="106"/>
      <c r="I22" s="106"/>
    </row>
    <row r="23" spans="1:12">
      <c r="A23" s="188" t="s">
        <v>62</v>
      </c>
      <c r="B23" s="188"/>
      <c r="C23" s="188"/>
      <c r="D23" s="188"/>
      <c r="E23" s="188"/>
      <c r="F23" s="188"/>
      <c r="G23" s="106"/>
      <c r="H23" s="106"/>
      <c r="I23" s="106"/>
    </row>
    <row r="24" spans="1:12">
      <c r="A24" s="188" t="s">
        <v>63</v>
      </c>
      <c r="B24" s="188"/>
      <c r="C24" s="188"/>
      <c r="D24" s="188"/>
      <c r="E24" s="188"/>
      <c r="F24" s="106"/>
      <c r="G24" s="106"/>
      <c r="H24" s="106"/>
      <c r="I24" s="106"/>
    </row>
    <row r="25" spans="1:12">
      <c r="A25" s="188" t="s">
        <v>64</v>
      </c>
      <c r="B25" s="188"/>
      <c r="C25" s="188"/>
      <c r="D25" s="188"/>
      <c r="E25" s="188"/>
      <c r="F25" s="106"/>
      <c r="G25" s="106"/>
      <c r="H25" s="106"/>
      <c r="I25" s="106"/>
    </row>
    <row r="26" spans="1:12">
      <c r="A26" s="188" t="s">
        <v>65</v>
      </c>
      <c r="B26" s="188"/>
      <c r="C26" s="188"/>
      <c r="D26" s="188"/>
      <c r="E26" s="188"/>
      <c r="F26" s="188"/>
      <c r="G26" s="106"/>
      <c r="H26" s="106"/>
      <c r="I26" s="106"/>
    </row>
    <row r="27" spans="1:12">
      <c r="A27" s="188" t="s">
        <v>66</v>
      </c>
      <c r="B27" s="188"/>
      <c r="C27" s="188"/>
      <c r="D27" s="188"/>
      <c r="E27" s="188"/>
      <c r="F27" s="188"/>
      <c r="G27" s="188"/>
      <c r="H27" s="188"/>
      <c r="I27" s="188"/>
    </row>
    <row r="28" spans="1:12">
      <c r="A28" s="188"/>
      <c r="B28" s="188"/>
      <c r="C28" s="188"/>
      <c r="D28" s="188"/>
      <c r="E28" s="188"/>
      <c r="F28" s="188"/>
      <c r="G28" s="188"/>
      <c r="H28" s="188"/>
      <c r="I28" s="106"/>
    </row>
  </sheetData>
  <mergeCells count="25">
    <mergeCell ref="A28:H28"/>
    <mergeCell ref="E15:F15"/>
    <mergeCell ref="E16:F16"/>
    <mergeCell ref="E17:F17"/>
    <mergeCell ref="E18:F18"/>
    <mergeCell ref="A22:G22"/>
    <mergeCell ref="A23:F23"/>
    <mergeCell ref="A24:C24"/>
    <mergeCell ref="D24:E24"/>
    <mergeCell ref="A25:E25"/>
    <mergeCell ref="A26:F26"/>
    <mergeCell ref="A27:I27"/>
    <mergeCell ref="A1:H1"/>
    <mergeCell ref="E14:F14"/>
    <mergeCell ref="A2:H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K24"/>
  <sheetViews>
    <sheetView zoomScale="90" zoomScaleNormal="90" workbookViewId="0">
      <selection activeCell="I4" sqref="I4"/>
    </sheetView>
  </sheetViews>
  <sheetFormatPr baseColWidth="10" defaultColWidth="11.42578125" defaultRowHeight="12.75"/>
  <cols>
    <col min="1" max="1" width="27.5703125" customWidth="1"/>
    <col min="2" max="2" width="13" customWidth="1"/>
    <col min="5" max="5" width="9.7109375" customWidth="1"/>
    <col min="6" max="6" width="10.7109375" customWidth="1"/>
    <col min="7" max="7" width="12.7109375" bestFit="1" customWidth="1"/>
    <col min="10" max="10" width="12.42578125" bestFit="1" customWidth="1"/>
  </cols>
  <sheetData>
    <row r="1" spans="1:11" ht="15.75">
      <c r="A1" s="201" t="s">
        <v>67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>
      <c r="E2" s="202" t="s">
        <v>68</v>
      </c>
      <c r="F2" s="203"/>
      <c r="G2" s="204"/>
      <c r="H2" s="205" t="s">
        <v>69</v>
      </c>
      <c r="I2" s="206"/>
      <c r="J2" s="207"/>
    </row>
    <row r="3" spans="1:11" s="46" customFormat="1" ht="30.75" customHeight="1">
      <c r="A3" s="40" t="s">
        <v>70</v>
      </c>
      <c r="B3" s="41" t="s">
        <v>71</v>
      </c>
      <c r="C3" s="42" t="s">
        <v>72</v>
      </c>
      <c r="D3" s="41" t="s">
        <v>73</v>
      </c>
      <c r="E3" s="43" t="s">
        <v>74</v>
      </c>
      <c r="F3" s="43" t="s">
        <v>75</v>
      </c>
      <c r="G3" s="43" t="s">
        <v>76</v>
      </c>
      <c r="H3" s="44" t="s">
        <v>77</v>
      </c>
      <c r="I3" s="44" t="s">
        <v>78</v>
      </c>
      <c r="J3" s="44" t="s">
        <v>79</v>
      </c>
      <c r="K3" s="45" t="s">
        <v>80</v>
      </c>
    </row>
    <row r="4" spans="1:11">
      <c r="A4" s="153" t="s">
        <v>81</v>
      </c>
      <c r="B4" s="9">
        <v>500</v>
      </c>
      <c r="C4" s="17">
        <v>15</v>
      </c>
      <c r="D4" s="9">
        <f>B4*C4</f>
        <v>7500</v>
      </c>
      <c r="E4" s="122">
        <f>IF(D4&gt;10000, D4*$G$15, D4*$G$16)</f>
        <v>300</v>
      </c>
      <c r="F4" s="122">
        <f>IF(D4&gt;15000, D4*$G$17, D4*$G$18)</f>
        <v>450</v>
      </c>
      <c r="G4" s="123">
        <f>E4+F4</f>
        <v>750</v>
      </c>
      <c r="H4" s="124">
        <f>IF(D4&gt;10000, D4*$K$15, D4*$K$16)</f>
        <v>750</v>
      </c>
      <c r="I4" s="124">
        <f>IF(D4&gt;15000, D4*$K$17, D4*$K$18)</f>
        <v>225</v>
      </c>
      <c r="J4" s="125">
        <f>H4+I4</f>
        <v>975</v>
      </c>
      <c r="K4" s="126">
        <f>D4+G4-J4</f>
        <v>7275</v>
      </c>
    </row>
    <row r="5" spans="1:11">
      <c r="A5" s="153" t="s">
        <v>82</v>
      </c>
      <c r="B5" s="9">
        <v>1100</v>
      </c>
      <c r="C5" s="17">
        <v>15</v>
      </c>
      <c r="D5" s="9">
        <f t="shared" ref="D5:D10" si="0">B5*C5</f>
        <v>16500</v>
      </c>
      <c r="E5" s="122">
        <f t="shared" ref="E5:E10" si="1">IF(D5&gt;10000, D5*$G$15, D5*$G$16)</f>
        <v>330</v>
      </c>
      <c r="F5" s="122">
        <f t="shared" ref="F5:F10" si="2">IF(D5&gt;15000, D5*$G$17, D5*$G$18)</f>
        <v>660</v>
      </c>
      <c r="G5" s="123">
        <f t="shared" ref="G5:G10" si="3">E5+F5</f>
        <v>990</v>
      </c>
      <c r="H5" s="124">
        <f t="shared" ref="H5:H10" si="4">IF(D5&gt;10000, D5*$K$15, D5*$K$16)</f>
        <v>2475</v>
      </c>
      <c r="I5" s="124">
        <f t="shared" ref="I5:I10" si="5">IF(D5&gt;15000, D5*$K$17, D5*$K$18)</f>
        <v>990</v>
      </c>
      <c r="J5" s="125">
        <f t="shared" ref="J5:J10" si="6">H5+I5</f>
        <v>3465</v>
      </c>
      <c r="K5" s="126">
        <f t="shared" ref="K5:K10" si="7">D5+G5-J5</f>
        <v>14025</v>
      </c>
    </row>
    <row r="6" spans="1:11">
      <c r="A6" s="153" t="s">
        <v>83</v>
      </c>
      <c r="B6" s="9">
        <v>800</v>
      </c>
      <c r="C6" s="17">
        <v>15</v>
      </c>
      <c r="D6" s="9">
        <f t="shared" si="0"/>
        <v>12000</v>
      </c>
      <c r="E6" s="122">
        <f t="shared" si="1"/>
        <v>240</v>
      </c>
      <c r="F6" s="122">
        <f t="shared" si="2"/>
        <v>720</v>
      </c>
      <c r="G6" s="123">
        <f t="shared" si="3"/>
        <v>960</v>
      </c>
      <c r="H6" s="124">
        <f t="shared" si="4"/>
        <v>1800</v>
      </c>
      <c r="I6" s="124">
        <f t="shared" si="5"/>
        <v>360</v>
      </c>
      <c r="J6" s="125">
        <f t="shared" si="6"/>
        <v>2160</v>
      </c>
      <c r="K6" s="126">
        <f t="shared" si="7"/>
        <v>10800</v>
      </c>
    </row>
    <row r="7" spans="1:11">
      <c r="A7" s="153" t="s">
        <v>84</v>
      </c>
      <c r="B7" s="9">
        <v>500</v>
      </c>
      <c r="C7" s="17">
        <v>14</v>
      </c>
      <c r="D7" s="9">
        <f t="shared" si="0"/>
        <v>7000</v>
      </c>
      <c r="E7" s="122">
        <f t="shared" si="1"/>
        <v>280</v>
      </c>
      <c r="F7" s="122">
        <f t="shared" si="2"/>
        <v>420</v>
      </c>
      <c r="G7" s="123">
        <f t="shared" si="3"/>
        <v>700</v>
      </c>
      <c r="H7" s="124">
        <f t="shared" si="4"/>
        <v>700</v>
      </c>
      <c r="I7" s="124">
        <f t="shared" si="5"/>
        <v>210</v>
      </c>
      <c r="J7" s="125">
        <f t="shared" si="6"/>
        <v>910</v>
      </c>
      <c r="K7" s="126">
        <f t="shared" si="7"/>
        <v>6790</v>
      </c>
    </row>
    <row r="8" spans="1:11">
      <c r="A8" s="153" t="s">
        <v>85</v>
      </c>
      <c r="B8" s="9">
        <v>1100</v>
      </c>
      <c r="C8" s="17">
        <v>13</v>
      </c>
      <c r="D8" s="9">
        <f t="shared" si="0"/>
        <v>14300</v>
      </c>
      <c r="E8" s="122">
        <f t="shared" si="1"/>
        <v>286</v>
      </c>
      <c r="F8" s="122">
        <f t="shared" si="2"/>
        <v>858</v>
      </c>
      <c r="G8" s="123">
        <f t="shared" si="3"/>
        <v>1144</v>
      </c>
      <c r="H8" s="124">
        <f t="shared" si="4"/>
        <v>2145</v>
      </c>
      <c r="I8" s="124">
        <f t="shared" si="5"/>
        <v>429</v>
      </c>
      <c r="J8" s="125">
        <f t="shared" si="6"/>
        <v>2574</v>
      </c>
      <c r="K8" s="126">
        <f t="shared" si="7"/>
        <v>12870</v>
      </c>
    </row>
    <row r="9" spans="1:11">
      <c r="A9" s="153" t="s">
        <v>86</v>
      </c>
      <c r="B9" s="9">
        <v>1100</v>
      </c>
      <c r="C9" s="17">
        <v>15</v>
      </c>
      <c r="D9" s="9">
        <f t="shared" si="0"/>
        <v>16500</v>
      </c>
      <c r="E9" s="122">
        <f t="shared" si="1"/>
        <v>330</v>
      </c>
      <c r="F9" s="122">
        <f t="shared" si="2"/>
        <v>660</v>
      </c>
      <c r="G9" s="123">
        <f t="shared" si="3"/>
        <v>990</v>
      </c>
      <c r="H9" s="124">
        <f t="shared" si="4"/>
        <v>2475</v>
      </c>
      <c r="I9" s="124">
        <f t="shared" si="5"/>
        <v>990</v>
      </c>
      <c r="J9" s="125">
        <f t="shared" si="6"/>
        <v>3465</v>
      </c>
      <c r="K9" s="126">
        <f t="shared" si="7"/>
        <v>14025</v>
      </c>
    </row>
    <row r="10" spans="1:11">
      <c r="A10" s="153" t="s">
        <v>87</v>
      </c>
      <c r="B10" s="9">
        <v>500</v>
      </c>
      <c r="C10" s="17">
        <v>14</v>
      </c>
      <c r="D10" s="9">
        <f t="shared" si="0"/>
        <v>7000</v>
      </c>
      <c r="E10" s="122">
        <f t="shared" si="1"/>
        <v>280</v>
      </c>
      <c r="F10" s="122">
        <f t="shared" si="2"/>
        <v>420</v>
      </c>
      <c r="G10" s="123">
        <f t="shared" si="3"/>
        <v>700</v>
      </c>
      <c r="H10" s="124">
        <f t="shared" si="4"/>
        <v>700</v>
      </c>
      <c r="I10" s="124">
        <f t="shared" si="5"/>
        <v>210</v>
      </c>
      <c r="J10" s="125">
        <f t="shared" si="6"/>
        <v>910</v>
      </c>
      <c r="K10" s="126">
        <f t="shared" si="7"/>
        <v>6790</v>
      </c>
    </row>
    <row r="11" spans="1:11">
      <c r="A11" s="37" t="s">
        <v>88</v>
      </c>
      <c r="D11" s="127">
        <f t="shared" ref="D11:K11" si="8">SUM(D4:D10)</f>
        <v>80800</v>
      </c>
      <c r="E11" s="127">
        <f t="shared" si="8"/>
        <v>2046</v>
      </c>
      <c r="F11" s="127">
        <f t="shared" si="8"/>
        <v>4188</v>
      </c>
      <c r="G11" s="127">
        <f t="shared" si="8"/>
        <v>6234</v>
      </c>
      <c r="H11" s="127">
        <f t="shared" si="8"/>
        <v>11045</v>
      </c>
      <c r="I11" s="127">
        <f t="shared" si="8"/>
        <v>3414</v>
      </c>
      <c r="J11" s="127">
        <f t="shared" si="8"/>
        <v>14459</v>
      </c>
      <c r="K11" s="127">
        <f t="shared" si="8"/>
        <v>72575</v>
      </c>
    </row>
    <row r="12" spans="1:11">
      <c r="A12" s="12"/>
      <c r="D12" s="47"/>
    </row>
    <row r="13" spans="1:11">
      <c r="G13" s="11"/>
      <c r="H13" s="11"/>
    </row>
    <row r="14" spans="1:11">
      <c r="E14" s="202" t="s">
        <v>89</v>
      </c>
      <c r="F14" s="203"/>
      <c r="G14" s="204"/>
      <c r="I14" s="208" t="s">
        <v>90</v>
      </c>
      <c r="J14" s="208"/>
      <c r="K14" s="208"/>
    </row>
    <row r="15" spans="1:11" ht="15.75">
      <c r="E15" s="197" t="s">
        <v>74</v>
      </c>
      <c r="F15" s="48" t="s">
        <v>91</v>
      </c>
      <c r="G15" s="49">
        <v>0.02</v>
      </c>
      <c r="I15" s="198" t="s">
        <v>77</v>
      </c>
      <c r="J15" s="48" t="s">
        <v>91</v>
      </c>
      <c r="K15" s="49">
        <v>0.15</v>
      </c>
    </row>
    <row r="16" spans="1:11" ht="15.75">
      <c r="E16" s="197"/>
      <c r="F16" s="48" t="s">
        <v>92</v>
      </c>
      <c r="G16" s="49">
        <v>0.04</v>
      </c>
      <c r="I16" s="198"/>
      <c r="J16" s="48" t="s">
        <v>92</v>
      </c>
      <c r="K16" s="49">
        <v>0.1</v>
      </c>
    </row>
    <row r="17" spans="1:11" ht="15.75">
      <c r="E17" s="196" t="s">
        <v>93</v>
      </c>
      <c r="F17" s="48" t="s">
        <v>94</v>
      </c>
      <c r="G17" s="49">
        <v>0.04</v>
      </c>
      <c r="I17" s="198" t="s">
        <v>78</v>
      </c>
      <c r="J17" s="48" t="s">
        <v>94</v>
      </c>
      <c r="K17" s="49">
        <v>0.06</v>
      </c>
    </row>
    <row r="18" spans="1:11" ht="15.75">
      <c r="E18" s="197"/>
      <c r="F18" s="48" t="s">
        <v>95</v>
      </c>
      <c r="G18" s="49">
        <v>0.06</v>
      </c>
      <c r="I18" s="198"/>
      <c r="J18" s="48" t="s">
        <v>95</v>
      </c>
      <c r="K18" s="49">
        <v>0.03</v>
      </c>
    </row>
    <row r="19" spans="1:11" ht="18">
      <c r="A19" s="37"/>
      <c r="B19" s="24"/>
      <c r="C19" s="25"/>
    </row>
    <row r="20" spans="1:11" ht="54" customHeight="1">
      <c r="A20" s="199" t="s">
        <v>96</v>
      </c>
      <c r="B20" s="200"/>
      <c r="C20" s="200"/>
      <c r="D20" s="200"/>
      <c r="E20" s="200"/>
      <c r="F20" s="200"/>
      <c r="G20" s="200"/>
      <c r="H20" s="200"/>
      <c r="I20" s="200"/>
      <c r="J20" s="200"/>
    </row>
    <row r="22" spans="1:11">
      <c r="A22" s="11" t="s">
        <v>97</v>
      </c>
    </row>
    <row r="23" spans="1:11">
      <c r="A23" t="s">
        <v>98</v>
      </c>
    </row>
    <row r="24" spans="1:11">
      <c r="A24" t="s">
        <v>99</v>
      </c>
    </row>
  </sheetData>
  <mergeCells count="10">
    <mergeCell ref="E17:E18"/>
    <mergeCell ref="I17:I18"/>
    <mergeCell ref="A20:J20"/>
    <mergeCell ref="A1:K1"/>
    <mergeCell ref="E2:G2"/>
    <mergeCell ref="H2:J2"/>
    <mergeCell ref="E14:G14"/>
    <mergeCell ref="I14:K14"/>
    <mergeCell ref="E15:E16"/>
    <mergeCell ref="I15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57"/>
  <sheetViews>
    <sheetView workbookViewId="0">
      <selection activeCell="B2" sqref="B2"/>
    </sheetView>
  </sheetViews>
  <sheetFormatPr baseColWidth="10" defaultColWidth="11.42578125" defaultRowHeight="12.75"/>
  <cols>
    <col min="1" max="1" width="20.140625" bestFit="1" customWidth="1"/>
    <col min="2" max="2" width="19.42578125" customWidth="1"/>
    <col min="3" max="3" width="15.85546875" bestFit="1" customWidth="1"/>
    <col min="4" max="4" width="18.5703125" customWidth="1"/>
    <col min="5" max="5" width="16.42578125" customWidth="1"/>
    <col min="6" max="6" width="17.42578125" customWidth="1"/>
  </cols>
  <sheetData>
    <row r="1" spans="1:10">
      <c r="A1" s="50"/>
      <c r="B1" s="51" t="s">
        <v>44</v>
      </c>
    </row>
    <row r="2" spans="1:10">
      <c r="A2" s="52" t="s">
        <v>100</v>
      </c>
      <c r="B2" s="82">
        <f>HLOOKUP("FEBRERO",B11:F15,2,FALSE)</f>
        <v>156656656</v>
      </c>
      <c r="D2" s="11" t="s">
        <v>101</v>
      </c>
    </row>
    <row r="3" spans="1:10" ht="13.5" thickBot="1">
      <c r="A3" s="54" t="s">
        <v>102</v>
      </c>
      <c r="B3" s="83">
        <f>HLOOKUP("FEBRERO",B11:F15,4,FALSE)</f>
        <v>983254</v>
      </c>
      <c r="D3" s="11" t="s">
        <v>103</v>
      </c>
    </row>
    <row r="10" spans="1:10" ht="13.5" thickBot="1">
      <c r="A10" s="56"/>
      <c r="B10" s="56"/>
      <c r="C10" s="56"/>
      <c r="D10" s="56"/>
      <c r="E10" s="56"/>
      <c r="F10" s="56"/>
      <c r="G10" s="56"/>
      <c r="H10" s="56"/>
      <c r="I10" s="56"/>
      <c r="J10" s="56"/>
    </row>
    <row r="11" spans="1:10" ht="13.5" thickBot="1">
      <c r="A11" s="57" t="s">
        <v>104</v>
      </c>
      <c r="B11" s="58" t="s">
        <v>43</v>
      </c>
      <c r="C11" s="57" t="s">
        <v>44</v>
      </c>
      <c r="D11" s="57" t="s">
        <v>45</v>
      </c>
      <c r="E11" s="57" t="s">
        <v>105</v>
      </c>
      <c r="F11" s="57" t="s">
        <v>106</v>
      </c>
      <c r="H11" s="59"/>
      <c r="I11" s="59"/>
      <c r="J11" s="59"/>
    </row>
    <row r="12" spans="1:10">
      <c r="A12" s="60" t="s">
        <v>100</v>
      </c>
      <c r="B12" s="84">
        <v>135213236</v>
      </c>
      <c r="C12" s="84">
        <v>156656656</v>
      </c>
      <c r="D12" s="84">
        <v>568897452</v>
      </c>
      <c r="E12" s="84">
        <v>478465168</v>
      </c>
      <c r="F12" s="85">
        <v>354654789</v>
      </c>
      <c r="H12" s="59"/>
      <c r="I12" s="59"/>
      <c r="J12" s="59"/>
    </row>
    <row r="13" spans="1:10">
      <c r="A13" s="60" t="s">
        <v>107</v>
      </c>
      <c r="B13" s="86">
        <v>123589</v>
      </c>
      <c r="C13" s="86">
        <v>254654</v>
      </c>
      <c r="D13" s="86">
        <v>456547</v>
      </c>
      <c r="E13" s="86">
        <v>254358</v>
      </c>
      <c r="F13" s="85">
        <v>564548</v>
      </c>
      <c r="H13" s="59"/>
      <c r="I13" s="59"/>
      <c r="J13" s="59"/>
    </row>
    <row r="14" spans="1:10">
      <c r="A14" s="60" t="s">
        <v>102</v>
      </c>
      <c r="B14" s="86">
        <f>B15-B12-B13</f>
        <v>131964</v>
      </c>
      <c r="C14" s="86">
        <f t="shared" ref="C14:F14" si="0">C15-C12-C13</f>
        <v>983254</v>
      </c>
      <c r="D14" s="86">
        <f t="shared" si="0"/>
        <v>435459</v>
      </c>
      <c r="E14" s="86">
        <f t="shared" si="0"/>
        <v>868133</v>
      </c>
      <c r="F14" s="86">
        <f t="shared" si="0"/>
        <v>449860</v>
      </c>
      <c r="G14" s="59"/>
      <c r="H14" s="59"/>
      <c r="I14" s="59"/>
      <c r="J14" s="59"/>
    </row>
    <row r="15" spans="1:10" ht="13.5" thickBot="1">
      <c r="A15" s="61" t="s">
        <v>108</v>
      </c>
      <c r="B15" s="87">
        <v>135468789</v>
      </c>
      <c r="C15" s="87">
        <v>157894564</v>
      </c>
      <c r="D15" s="88">
        <v>569789458</v>
      </c>
      <c r="E15" s="88">
        <v>479587659</v>
      </c>
      <c r="F15" s="89">
        <v>355669197</v>
      </c>
    </row>
    <row r="18" spans="1:6">
      <c r="C18" s="62"/>
    </row>
    <row r="19" spans="1:6">
      <c r="C19" s="62"/>
    </row>
    <row r="20" spans="1:6" ht="15">
      <c r="C20" s="62"/>
      <c r="F20" s="63"/>
    </row>
    <row r="21" spans="1:6" ht="15">
      <c r="C21" s="62"/>
      <c r="F21" s="63"/>
    </row>
    <row r="22" spans="1:6" ht="15">
      <c r="C22" s="64"/>
      <c r="F22" s="63"/>
    </row>
    <row r="23" spans="1:6">
      <c r="C23" s="64"/>
    </row>
    <row r="29" spans="1:6">
      <c r="A29" s="65"/>
    </row>
    <row r="48" spans="4:6" ht="15.75">
      <c r="D48" s="62"/>
      <c r="F48" s="66"/>
    </row>
    <row r="49" spans="4:7">
      <c r="D49" s="62"/>
    </row>
    <row r="50" spans="4:7">
      <c r="D50" s="62"/>
    </row>
    <row r="51" spans="4:7">
      <c r="D51" s="62"/>
    </row>
    <row r="52" spans="4:7">
      <c r="D52" s="62"/>
    </row>
    <row r="53" spans="4:7">
      <c r="D53" s="62"/>
    </row>
    <row r="54" spans="4:7">
      <c r="D54" s="62"/>
    </row>
    <row r="55" spans="4:7" ht="15">
      <c r="D55" s="62"/>
      <c r="G55" s="63"/>
    </row>
    <row r="56" spans="4:7" ht="15">
      <c r="D56" s="62"/>
      <c r="G56" s="63"/>
    </row>
    <row r="57" spans="4:7" ht="15">
      <c r="D57" s="64"/>
      <c r="G57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61"/>
  <sheetViews>
    <sheetView workbookViewId="0">
      <selection activeCell="H8" sqref="H8"/>
    </sheetView>
  </sheetViews>
  <sheetFormatPr baseColWidth="10" defaultColWidth="11.42578125" defaultRowHeight="12.75"/>
  <cols>
    <col min="1" max="1" width="20.140625" bestFit="1" customWidth="1"/>
    <col min="2" max="2" width="18.140625" bestFit="1" customWidth="1"/>
    <col min="3" max="3" width="17.28515625" bestFit="1" customWidth="1"/>
    <col min="4" max="4" width="17.5703125" bestFit="1" customWidth="1"/>
    <col min="5" max="5" width="11.140625" bestFit="1" customWidth="1"/>
  </cols>
  <sheetData>
    <row r="1" spans="1:10">
      <c r="A1" s="50"/>
      <c r="B1" s="51" t="s">
        <v>109</v>
      </c>
    </row>
    <row r="2" spans="1:10">
      <c r="A2" s="52" t="s">
        <v>110</v>
      </c>
      <c r="B2" s="53">
        <f>HLOOKUP("MINATITLAN",B9:G15,4,FALSE)</f>
        <v>59</v>
      </c>
    </row>
    <row r="3" spans="1:10" ht="13.5" thickBot="1">
      <c r="A3" s="54" t="s">
        <v>111</v>
      </c>
      <c r="B3" s="55">
        <f>HLOOKUP("MINATITLAN",B9:G15,2,FALSE)</f>
        <v>9564354</v>
      </c>
      <c r="D3" s="11" t="s">
        <v>112</v>
      </c>
    </row>
    <row r="4" spans="1:10">
      <c r="D4" s="11" t="s">
        <v>113</v>
      </c>
    </row>
    <row r="8" spans="1:10" ht="13.5" thickBot="1"/>
    <row r="9" spans="1:10" ht="13.5" thickBot="1">
      <c r="A9" s="67" t="s">
        <v>114</v>
      </c>
      <c r="B9" s="67" t="s">
        <v>115</v>
      </c>
      <c r="C9" s="67" t="s">
        <v>116</v>
      </c>
      <c r="D9" s="67" t="s">
        <v>109</v>
      </c>
      <c r="E9" s="67" t="s">
        <v>117</v>
      </c>
      <c r="F9" s="67" t="s">
        <v>118</v>
      </c>
      <c r="G9" s="67" t="s">
        <v>119</v>
      </c>
    </row>
    <row r="10" spans="1:10">
      <c r="A10" s="68" t="s">
        <v>111</v>
      </c>
      <c r="B10" s="69">
        <v>12356456</v>
      </c>
      <c r="C10" s="69">
        <v>10356897</v>
      </c>
      <c r="D10" s="69">
        <v>9564354</v>
      </c>
      <c r="E10" s="69">
        <v>15256879</v>
      </c>
      <c r="F10" s="69">
        <v>8578265</v>
      </c>
      <c r="G10" s="69">
        <v>5521784</v>
      </c>
      <c r="H10" s="56"/>
      <c r="I10" s="56"/>
      <c r="J10" s="56"/>
    </row>
    <row r="11" spans="1:10">
      <c r="A11" s="172" t="s">
        <v>120</v>
      </c>
      <c r="B11" s="70">
        <v>1256</v>
      </c>
      <c r="C11" s="71">
        <v>405</v>
      </c>
      <c r="D11" s="71">
        <v>85</v>
      </c>
      <c r="E11" s="72">
        <v>8564</v>
      </c>
      <c r="F11" s="71">
        <v>564</v>
      </c>
      <c r="G11" s="71">
        <v>121</v>
      </c>
      <c r="H11" s="59"/>
      <c r="I11" s="59"/>
      <c r="J11" s="59"/>
    </row>
    <row r="12" spans="1:10">
      <c r="A12" s="73" t="s">
        <v>110</v>
      </c>
      <c r="B12" s="72">
        <v>4458</v>
      </c>
      <c r="C12" s="72">
        <v>4870</v>
      </c>
      <c r="D12" s="71">
        <v>59</v>
      </c>
      <c r="E12" s="72">
        <v>5459</v>
      </c>
      <c r="F12" s="71">
        <v>459</v>
      </c>
      <c r="G12" s="72">
        <v>487</v>
      </c>
      <c r="H12" s="59"/>
      <c r="I12" s="59"/>
      <c r="J12" s="59"/>
    </row>
    <row r="13" spans="1:10">
      <c r="A13" s="73" t="s">
        <v>121</v>
      </c>
      <c r="B13" s="71">
        <v>125</v>
      </c>
      <c r="C13" s="71">
        <v>154</v>
      </c>
      <c r="D13" s="71">
        <v>489</v>
      </c>
      <c r="E13" s="71">
        <v>569</v>
      </c>
      <c r="F13" s="71">
        <v>111</v>
      </c>
      <c r="G13" s="71">
        <v>110</v>
      </c>
      <c r="H13" s="59"/>
      <c r="I13" s="59"/>
      <c r="J13" s="59"/>
    </row>
    <row r="14" spans="1:10">
      <c r="A14" s="73" t="s">
        <v>122</v>
      </c>
      <c r="B14" s="71">
        <v>54</v>
      </c>
      <c r="C14" s="71">
        <v>23</v>
      </c>
      <c r="D14" s="71">
        <v>21</v>
      </c>
      <c r="E14" s="71">
        <v>89</v>
      </c>
      <c r="F14" s="71">
        <v>116</v>
      </c>
      <c r="G14" s="71">
        <v>165</v>
      </c>
      <c r="H14" s="59"/>
      <c r="I14" s="59"/>
      <c r="J14" s="59"/>
    </row>
    <row r="15" spans="1:10" ht="13.5" thickBot="1">
      <c r="A15" s="74" t="s">
        <v>123</v>
      </c>
      <c r="B15" s="75">
        <v>12</v>
      </c>
      <c r="C15" s="75">
        <v>13</v>
      </c>
      <c r="D15" s="75">
        <v>5</v>
      </c>
      <c r="E15" s="75">
        <v>23</v>
      </c>
      <c r="F15" s="75">
        <v>14</v>
      </c>
      <c r="G15" s="75">
        <v>9</v>
      </c>
    </row>
    <row r="18" spans="1:6">
      <c r="C18" s="62"/>
    </row>
    <row r="19" spans="1:6">
      <c r="C19" s="62"/>
    </row>
    <row r="20" spans="1:6" ht="15">
      <c r="C20" s="62"/>
      <c r="F20" s="63"/>
    </row>
    <row r="21" spans="1:6" ht="15">
      <c r="C21" s="62"/>
      <c r="F21" s="63"/>
    </row>
    <row r="22" spans="1:6" ht="15">
      <c r="C22" s="64"/>
      <c r="F22" s="63"/>
    </row>
    <row r="23" spans="1:6">
      <c r="C23" s="64"/>
    </row>
    <row r="29" spans="1:6">
      <c r="A29" s="65"/>
    </row>
    <row r="31" spans="1:6">
      <c r="D31" t="e">
        <f>HLOOKUP("FEBRERO",B11:F15,2,FALSE)</f>
        <v>#N/A</v>
      </c>
    </row>
    <row r="48" spans="4:6" ht="15.75">
      <c r="D48" s="62"/>
      <c r="F48" s="66"/>
    </row>
    <row r="49" spans="3:7">
      <c r="D49" s="62"/>
    </row>
    <row r="50" spans="3:7">
      <c r="D50" s="62"/>
    </row>
    <row r="51" spans="3:7">
      <c r="D51" s="62"/>
    </row>
    <row r="52" spans="3:7">
      <c r="D52" s="62"/>
    </row>
    <row r="53" spans="3:7">
      <c r="D53" s="62"/>
    </row>
    <row r="54" spans="3:7">
      <c r="D54" s="62"/>
    </row>
    <row r="55" spans="3:7" ht="15">
      <c r="D55" s="62"/>
      <c r="G55" s="63"/>
    </row>
    <row r="56" spans="3:7" ht="15">
      <c r="D56" s="62"/>
      <c r="G56" s="63"/>
    </row>
    <row r="57" spans="3:7" ht="15">
      <c r="D57" s="64"/>
      <c r="G57" s="63"/>
    </row>
    <row r="61" spans="3:7">
      <c r="C6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3:C13"/>
  <sheetViews>
    <sheetView workbookViewId="0">
      <selection activeCell="B44" sqref="B44"/>
    </sheetView>
  </sheetViews>
  <sheetFormatPr baseColWidth="10" defaultColWidth="11.42578125" defaultRowHeight="12.75"/>
  <cols>
    <col min="1" max="1" width="17.5703125" customWidth="1"/>
    <col min="2" max="2" width="57.85546875" customWidth="1"/>
  </cols>
  <sheetData>
    <row r="3" spans="1:3">
      <c r="A3" s="30" t="s">
        <v>125</v>
      </c>
      <c r="B3" s="106"/>
    </row>
    <row r="4" spans="1:3">
      <c r="A4" s="106" t="s">
        <v>126</v>
      </c>
    </row>
    <row r="5" spans="1:3" ht="13.5" thickBot="1"/>
    <row r="6" spans="1:3" ht="13.5" thickBot="1">
      <c r="A6" s="76" t="s">
        <v>127</v>
      </c>
      <c r="B6" s="77">
        <v>30000</v>
      </c>
      <c r="C6">
        <v>30000</v>
      </c>
    </row>
    <row r="7" spans="1:3" ht="14.25" customHeight="1" thickBot="1">
      <c r="A7" s="78" t="s">
        <v>128</v>
      </c>
      <c r="B7" s="79">
        <f>IF(B6&gt;=10000,B6*0.1,B6*0.04)</f>
        <v>3000</v>
      </c>
      <c r="C7" s="25"/>
    </row>
    <row r="8" spans="1:3" ht="15.75" customHeight="1" thickBot="1">
      <c r="A8" s="78" t="s">
        <v>129</v>
      </c>
      <c r="B8" s="80">
        <f>B6-B7</f>
        <v>27000</v>
      </c>
      <c r="C8" s="90"/>
    </row>
    <row r="9" spans="1:3" ht="13.5" customHeight="1">
      <c r="C9" s="25"/>
    </row>
    <row r="11" spans="1:3">
      <c r="A11" t="s">
        <v>130</v>
      </c>
    </row>
    <row r="12" spans="1:3" ht="15" customHeight="1">
      <c r="A12" t="s">
        <v>131</v>
      </c>
    </row>
    <row r="13" spans="1:3" ht="15.75" customHeight="1">
      <c r="A13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H25"/>
  <sheetViews>
    <sheetView workbookViewId="0">
      <selection activeCell="G5" sqref="G5"/>
    </sheetView>
  </sheetViews>
  <sheetFormatPr baseColWidth="10" defaultColWidth="11.42578125" defaultRowHeight="14.25"/>
  <cols>
    <col min="1" max="1" width="15.7109375" style="1" customWidth="1"/>
    <col min="2" max="2" width="24" style="1" bestFit="1" customWidth="1"/>
    <col min="3" max="6" width="15.7109375" style="1" customWidth="1"/>
    <col min="7" max="7" width="17.5703125" style="1" customWidth="1"/>
    <col min="8" max="8" width="19.28515625" style="1" customWidth="1"/>
    <col min="9" max="16384" width="11.42578125" style="1"/>
  </cols>
  <sheetData>
    <row r="2" spans="1:8" ht="15.75">
      <c r="C2" s="214" t="s">
        <v>133</v>
      </c>
      <c r="D2" s="215"/>
      <c r="E2" s="215"/>
      <c r="F2" s="215"/>
      <c r="G2" s="216"/>
      <c r="H2" s="91"/>
    </row>
    <row r="3" spans="1:8" ht="15" customHeight="1">
      <c r="B3" s="209" t="s">
        <v>134</v>
      </c>
      <c r="C3" s="217" t="s">
        <v>135</v>
      </c>
      <c r="D3" s="218"/>
      <c r="E3" s="218"/>
      <c r="F3" s="218"/>
      <c r="G3" s="219"/>
      <c r="H3" s="91"/>
    </row>
    <row r="4" spans="1:8" ht="15">
      <c r="A4" s="4" t="s">
        <v>136</v>
      </c>
      <c r="B4" s="209"/>
      <c r="C4" s="6" t="s">
        <v>137</v>
      </c>
      <c r="D4" s="6" t="s">
        <v>138</v>
      </c>
      <c r="E4" s="6" t="s">
        <v>139</v>
      </c>
      <c r="F4" s="6" t="s">
        <v>140</v>
      </c>
      <c r="G4" s="150" t="s">
        <v>141</v>
      </c>
      <c r="H4" s="92"/>
    </row>
    <row r="5" spans="1:8">
      <c r="A5" s="5" t="s">
        <v>142</v>
      </c>
      <c r="B5" s="128">
        <v>4500</v>
      </c>
      <c r="C5" s="96">
        <v>563000</v>
      </c>
      <c r="D5" s="96">
        <v>590000</v>
      </c>
      <c r="E5" s="96">
        <v>500000</v>
      </c>
      <c r="F5" s="2">
        <f>AVERAGE(C5:E5)</f>
        <v>551000</v>
      </c>
      <c r="G5" s="2" t="str">
        <f>_xlfn.IFS(F5&gt;500000,"CATEGORIA A",F5&lt;=400000,"CATEGORIA C",F5&gt;400000,"CATEGORIAB")</f>
        <v>CATEGORIA A</v>
      </c>
      <c r="H5" s="93"/>
    </row>
    <row r="6" spans="1:8">
      <c r="A6" s="5" t="s">
        <v>143</v>
      </c>
      <c r="B6" s="128">
        <v>1100</v>
      </c>
      <c r="C6" s="96">
        <v>254000</v>
      </c>
      <c r="D6" s="96">
        <v>222000</v>
      </c>
      <c r="E6" s="96">
        <v>260000</v>
      </c>
      <c r="F6" s="2">
        <f t="shared" ref="F6:F7" si="0">AVERAGE(C6:E6)</f>
        <v>245333.33333333334</v>
      </c>
      <c r="G6" s="2" t="str">
        <f t="shared" ref="G6:G7" si="1">_xlfn.IFS(F6&gt;500000,"CATEGORIA A",F6&lt;=400000,"CATEGORIA C",F6&gt;400000,"CATEGORIAB")</f>
        <v>CATEGORIA C</v>
      </c>
      <c r="H6" s="93"/>
    </row>
    <row r="7" spans="1:8">
      <c r="A7" s="5" t="s">
        <v>144</v>
      </c>
      <c r="B7" s="128">
        <v>2650</v>
      </c>
      <c r="C7" s="96">
        <v>490000</v>
      </c>
      <c r="D7" s="96">
        <v>515000</v>
      </c>
      <c r="E7" s="96">
        <v>505000</v>
      </c>
      <c r="F7" s="2">
        <f t="shared" si="0"/>
        <v>503333.33333333331</v>
      </c>
      <c r="G7" s="2" t="str">
        <f t="shared" si="1"/>
        <v>CATEGORIA A</v>
      </c>
      <c r="H7" s="93"/>
    </row>
    <row r="8" spans="1:8">
      <c r="A8" s="5" t="s">
        <v>145</v>
      </c>
      <c r="B8" s="128">
        <v>1700</v>
      </c>
      <c r="C8" s="96">
        <v>158000</v>
      </c>
      <c r="D8" s="96">
        <v>210000</v>
      </c>
      <c r="E8" s="96">
        <v>200000</v>
      </c>
      <c r="F8" s="2">
        <f>AVERAGE(C8:E8)</f>
        <v>189333.33333333334</v>
      </c>
      <c r="G8" s="2" t="str">
        <f>_xlfn.IFS(F8&gt;500000,"CATEGORIA A",F8&lt;=400000,"CATEGORIA C",F8&gt;400000,"CATEGORIAB")</f>
        <v>CATEGORIA C</v>
      </c>
      <c r="H8" s="3"/>
    </row>
    <row r="9" spans="1:8" ht="15">
      <c r="A9" s="210" t="s">
        <v>146</v>
      </c>
      <c r="B9" s="211"/>
      <c r="C9" s="2">
        <f>SUM(C5:C8)</f>
        <v>1465000</v>
      </c>
      <c r="D9" s="2">
        <f t="shared" ref="D9:E9" si="2">SUM(D5:D8)</f>
        <v>1537000</v>
      </c>
      <c r="E9" s="2">
        <f t="shared" si="2"/>
        <v>1465000</v>
      </c>
      <c r="F9" s="3"/>
      <c r="G9" s="3"/>
      <c r="H9" s="3"/>
    </row>
    <row r="10" spans="1:8" ht="15">
      <c r="A10" s="212" t="s">
        <v>147</v>
      </c>
      <c r="B10" s="213"/>
      <c r="C10" s="2">
        <f>COUNTIF(C5:E8,"&gt;500000")</f>
        <v>4</v>
      </c>
      <c r="D10" s="3"/>
      <c r="E10" s="3"/>
      <c r="F10" s="3"/>
      <c r="G10" s="3"/>
      <c r="H10" s="3"/>
    </row>
    <row r="11" spans="1:8">
      <c r="C11" s="3"/>
      <c r="D11" s="3"/>
      <c r="E11" s="3"/>
      <c r="F11" s="3"/>
      <c r="G11" s="3"/>
      <c r="H11" s="3"/>
    </row>
    <row r="13" spans="1:8">
      <c r="A13" s="1" t="s">
        <v>148</v>
      </c>
    </row>
    <row r="14" spans="1:8">
      <c r="A14" s="1" t="s">
        <v>149</v>
      </c>
    </row>
    <row r="16" spans="1:8">
      <c r="A16" s="1" t="s">
        <v>150</v>
      </c>
    </row>
    <row r="17" spans="1:1">
      <c r="A17" s="1" t="s">
        <v>151</v>
      </c>
    </row>
    <row r="19" spans="1:1">
      <c r="A19" s="1" t="s">
        <v>152</v>
      </c>
    </row>
    <row r="21" spans="1:1">
      <c r="A21" s="1" t="s">
        <v>153</v>
      </c>
    </row>
    <row r="23" spans="1:1">
      <c r="A23" s="1" t="s">
        <v>154</v>
      </c>
    </row>
    <row r="24" spans="1:1">
      <c r="A24" s="1" t="s">
        <v>155</v>
      </c>
    </row>
    <row r="25" spans="1:1">
      <c r="A25" s="1" t="s">
        <v>156</v>
      </c>
    </row>
  </sheetData>
  <mergeCells count="5">
    <mergeCell ref="B3:B4"/>
    <mergeCell ref="A9:B9"/>
    <mergeCell ref="A10:B10"/>
    <mergeCell ref="C2:G2"/>
    <mergeCell ref="C3:G3"/>
  </mergeCells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G25"/>
  <sheetViews>
    <sheetView workbookViewId="0">
      <selection activeCell="G4" sqref="G4"/>
    </sheetView>
  </sheetViews>
  <sheetFormatPr baseColWidth="10" defaultColWidth="11.42578125" defaultRowHeight="12.75"/>
  <cols>
    <col min="1" max="1" width="20.42578125" customWidth="1"/>
    <col min="2" max="2" width="14" customWidth="1"/>
    <col min="3" max="3" width="14.28515625" customWidth="1"/>
    <col min="4" max="4" width="17.42578125" bestFit="1" customWidth="1"/>
  </cols>
  <sheetData>
    <row r="1" spans="1:7" ht="15.75">
      <c r="A1" s="220" t="s">
        <v>157</v>
      </c>
      <c r="B1" s="220"/>
      <c r="C1" s="220"/>
      <c r="D1" s="220"/>
      <c r="E1" s="220"/>
      <c r="F1" s="220"/>
    </row>
    <row r="3" spans="1:7">
      <c r="A3" s="7" t="s">
        <v>158</v>
      </c>
      <c r="B3" s="7" t="s">
        <v>159</v>
      </c>
      <c r="C3" s="7" t="s">
        <v>160</v>
      </c>
      <c r="D3" s="7" t="s">
        <v>161</v>
      </c>
      <c r="F3" s="221" t="s">
        <v>160</v>
      </c>
      <c r="G3" s="222"/>
    </row>
    <row r="4" spans="1:7">
      <c r="A4" s="8" t="s">
        <v>162</v>
      </c>
      <c r="B4" s="9">
        <v>988.5</v>
      </c>
      <c r="C4" s="9">
        <v>990.3</v>
      </c>
      <c r="D4" s="17" t="str">
        <f>IF($F$4=C4,"Máxima asignación",$F$4-C4)</f>
        <v>Máxima asignación</v>
      </c>
      <c r="F4" s="9">
        <f>MAX(C4:C8)</f>
        <v>990.3</v>
      </c>
      <c r="G4" s="106" t="s">
        <v>163</v>
      </c>
    </row>
    <row r="5" spans="1:7">
      <c r="A5" s="8" t="s">
        <v>164</v>
      </c>
      <c r="B5" s="9">
        <v>325.20999999999998</v>
      </c>
      <c r="C5" s="9">
        <v>300.22000000000003</v>
      </c>
      <c r="D5" s="17">
        <f t="shared" ref="D5:D8" si="0">IF($F$4=C5,"Máxima asignación",$F$4-C5)</f>
        <v>690.07999999999993</v>
      </c>
      <c r="F5" s="9">
        <f>MIN(C4:C8)</f>
        <v>222.54</v>
      </c>
      <c r="G5" s="106" t="s">
        <v>165</v>
      </c>
    </row>
    <row r="6" spans="1:7">
      <c r="A6" s="8" t="s">
        <v>166</v>
      </c>
      <c r="B6" s="9">
        <v>215.27</v>
      </c>
      <c r="C6" s="9">
        <v>222.54</v>
      </c>
      <c r="D6" s="17">
        <f t="shared" si="0"/>
        <v>767.76</v>
      </c>
    </row>
    <row r="7" spans="1:7">
      <c r="A7" s="8" t="s">
        <v>167</v>
      </c>
      <c r="B7" s="9">
        <v>650.54</v>
      </c>
      <c r="C7" s="9">
        <v>625.30999999999995</v>
      </c>
      <c r="D7" s="17">
        <f t="shared" si="0"/>
        <v>364.99</v>
      </c>
    </row>
    <row r="8" spans="1:7">
      <c r="A8" s="8" t="s">
        <v>168</v>
      </c>
      <c r="B8" s="9">
        <v>269.87</v>
      </c>
      <c r="C8" s="9">
        <v>258.97000000000003</v>
      </c>
      <c r="D8" s="17">
        <f t="shared" si="0"/>
        <v>731.32999999999993</v>
      </c>
    </row>
    <row r="9" spans="1:7">
      <c r="A9" s="95" t="s">
        <v>24</v>
      </c>
      <c r="B9" s="9">
        <f>AVERAGE(B4:B8)</f>
        <v>489.87799999999999</v>
      </c>
      <c r="C9" s="9">
        <f>AVERAGE(C4:C8)</f>
        <v>479.46800000000002</v>
      </c>
    </row>
    <row r="10" spans="1:7">
      <c r="C10" s="14"/>
    </row>
    <row r="11" spans="1:7">
      <c r="A11" t="s">
        <v>169</v>
      </c>
      <c r="C11" s="10"/>
    </row>
    <row r="13" spans="1:7">
      <c r="A13" t="s">
        <v>170</v>
      </c>
    </row>
    <row r="15" spans="1:7">
      <c r="A15" s="11" t="s">
        <v>171</v>
      </c>
    </row>
    <row r="16" spans="1:7">
      <c r="A16" t="s">
        <v>172</v>
      </c>
    </row>
    <row r="17" spans="1:4">
      <c r="A17" t="s">
        <v>173</v>
      </c>
      <c r="B17" s="12"/>
      <c r="C17" s="12"/>
      <c r="D17" s="12"/>
    </row>
    <row r="18" spans="1:4">
      <c r="A18" t="s">
        <v>174</v>
      </c>
    </row>
    <row r="19" spans="1:4" ht="15.75">
      <c r="C19" s="13"/>
    </row>
    <row r="20" spans="1:4">
      <c r="C20" s="11"/>
    </row>
    <row r="21" spans="1:4">
      <c r="B21" s="14"/>
      <c r="C21" s="14"/>
    </row>
    <row r="22" spans="1:4">
      <c r="C22" s="14"/>
      <c r="D22" s="14"/>
    </row>
    <row r="23" spans="1:4">
      <c r="C23" s="14"/>
      <c r="D23" s="14"/>
    </row>
    <row r="24" spans="1:4">
      <c r="C24" s="14"/>
      <c r="D24" s="14"/>
    </row>
    <row r="25" spans="1:4">
      <c r="C25" s="14"/>
      <c r="D25" s="14"/>
    </row>
  </sheetData>
  <mergeCells count="2">
    <mergeCell ref="A1:F1"/>
    <mergeCell ref="F3:G3"/>
  </mergeCell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Introducción</vt:lpstr>
      <vt:lpstr>Ejerc1</vt:lpstr>
      <vt:lpstr>Ejerc2</vt:lpstr>
      <vt:lpstr>Ejerc3</vt:lpstr>
      <vt:lpstr>Ejerc4</vt:lpstr>
      <vt:lpstr>Ejerc5</vt:lpstr>
      <vt:lpstr>Ejerc6</vt:lpstr>
      <vt:lpstr>Ejerc7</vt:lpstr>
      <vt:lpstr>Ejerc8</vt:lpstr>
      <vt:lpstr>Ejerc9</vt:lpstr>
      <vt:lpstr>Ejerc10</vt:lpstr>
      <vt:lpstr>Ejerc11</vt:lpstr>
      <vt:lpstr>Ejerc12</vt:lpstr>
      <vt:lpstr>Ejerc13</vt:lpstr>
      <vt:lpstr>Ejerc14</vt:lpstr>
      <vt:lpstr>Ejerc15</vt:lpstr>
      <vt:lpstr>TuEjercicio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SoftAA</dc:subject>
  <dc:creator>José A. Vergara</dc:creator>
  <cp:keywords/>
  <dc:description>SEA-Coatzacoalcos</dc:description>
  <cp:lastModifiedBy>Electronica</cp:lastModifiedBy>
  <cp:revision/>
  <dcterms:created xsi:type="dcterms:W3CDTF">2000-10-20T04:54:19Z</dcterms:created>
  <dcterms:modified xsi:type="dcterms:W3CDTF">2019-04-01T21:40:34Z</dcterms:modified>
  <cp:category/>
  <cp:contentStatus/>
</cp:coreProperties>
</file>