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\Git\Or\DBCompare\filelist\"/>
    </mc:Choice>
  </mc:AlternateContent>
  <bookViews>
    <workbookView minimized="1" xWindow="0" yWindow="0" windowWidth="20496" windowHeight="7692" activeTab="4"/>
  </bookViews>
  <sheets>
    <sheet name="第二笔生成器" sheetId="11" r:id="rId1"/>
    <sheet name="第一笔生成器" sheetId="1" r:id="rId2"/>
    <sheet name="自主支付" sheetId="7" r:id="rId3"/>
    <sheet name="合同年利率" sheetId="4" r:id="rId4"/>
    <sheet name="最新定价" sheetId="10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0" l="1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T8" i="10"/>
  <c r="U8" i="10"/>
  <c r="V8" i="10"/>
  <c r="W8" i="10"/>
  <c r="X8" i="10" s="1"/>
  <c r="T9" i="10"/>
  <c r="U9" i="10"/>
  <c r="V9" i="10"/>
  <c r="W9" i="10"/>
  <c r="X9" i="10" s="1"/>
  <c r="T10" i="10"/>
  <c r="W10" i="10" s="1"/>
  <c r="X10" i="10" s="1"/>
  <c r="U10" i="10"/>
  <c r="V10" i="10"/>
  <c r="T11" i="10"/>
  <c r="W11" i="10" s="1"/>
  <c r="X11" i="10" s="1"/>
  <c r="U11" i="10"/>
  <c r="V11" i="10"/>
  <c r="T12" i="10"/>
  <c r="U12" i="10"/>
  <c r="V12" i="10"/>
  <c r="W12" i="10"/>
  <c r="X12" i="10" s="1"/>
  <c r="T13" i="10"/>
  <c r="U13" i="10"/>
  <c r="W13" i="10" s="1"/>
  <c r="X13" i="10" s="1"/>
  <c r="V13" i="10"/>
  <c r="T14" i="10"/>
  <c r="W14" i="10" s="1"/>
  <c r="X14" i="10" s="1"/>
  <c r="U14" i="10"/>
  <c r="V14" i="10"/>
  <c r="T15" i="10"/>
  <c r="W15" i="10" s="1"/>
  <c r="X15" i="10" s="1"/>
  <c r="U15" i="10"/>
  <c r="V15" i="10"/>
  <c r="T16" i="10"/>
  <c r="U16" i="10"/>
  <c r="V16" i="10"/>
  <c r="W16" i="10"/>
  <c r="X16" i="10" s="1"/>
  <c r="T17" i="10"/>
  <c r="W17" i="10" s="1"/>
  <c r="X17" i="10" s="1"/>
  <c r="U17" i="10"/>
  <c r="V17" i="10"/>
  <c r="T18" i="10"/>
  <c r="W18" i="10" s="1"/>
  <c r="X18" i="10" s="1"/>
  <c r="U18" i="10"/>
  <c r="V18" i="10"/>
  <c r="T19" i="10"/>
  <c r="W19" i="10" s="1"/>
  <c r="X19" i="10" s="1"/>
  <c r="U19" i="10"/>
  <c r="V19" i="10"/>
  <c r="T20" i="10"/>
  <c r="U20" i="10"/>
  <c r="V20" i="10"/>
  <c r="W20" i="10"/>
  <c r="X20" i="10" s="1"/>
  <c r="T21" i="10"/>
  <c r="W21" i="10" s="1"/>
  <c r="X21" i="10" s="1"/>
  <c r="U21" i="10"/>
  <c r="V21" i="10"/>
  <c r="T22" i="10"/>
  <c r="W22" i="10" s="1"/>
  <c r="X22" i="10" s="1"/>
  <c r="U22" i="10"/>
  <c r="V22" i="10"/>
  <c r="T23" i="10"/>
  <c r="W23" i="10" s="1"/>
  <c r="X23" i="10" s="1"/>
  <c r="U23" i="10"/>
  <c r="V23" i="10"/>
  <c r="T24" i="10"/>
  <c r="U24" i="10"/>
  <c r="V24" i="10"/>
  <c r="W24" i="10"/>
  <c r="X24" i="10" s="1"/>
  <c r="T25" i="10"/>
  <c r="W25" i="10" s="1"/>
  <c r="X25" i="10" s="1"/>
  <c r="U25" i="10"/>
  <c r="V25" i="10"/>
  <c r="T26" i="10"/>
  <c r="W26" i="10" s="1"/>
  <c r="X26" i="10" s="1"/>
  <c r="U26" i="10"/>
  <c r="V26" i="10"/>
  <c r="T27" i="10"/>
  <c r="W27" i="10" s="1"/>
  <c r="X27" i="10" s="1"/>
  <c r="U27" i="10"/>
  <c r="V27" i="10"/>
  <c r="T28" i="10"/>
  <c r="U28" i="10"/>
  <c r="V28" i="10"/>
  <c r="W28" i="10"/>
  <c r="X28" i="10" s="1"/>
  <c r="T29" i="10"/>
  <c r="W29" i="10" s="1"/>
  <c r="X29" i="10" s="1"/>
  <c r="U29" i="10"/>
  <c r="V29" i="10"/>
  <c r="T30" i="10"/>
  <c r="W30" i="10" s="1"/>
  <c r="X30" i="10" s="1"/>
  <c r="U30" i="10"/>
  <c r="V30" i="10"/>
  <c r="T31" i="10"/>
  <c r="W31" i="10" s="1"/>
  <c r="X31" i="10" s="1"/>
  <c r="U31" i="10"/>
  <c r="V31" i="10"/>
  <c r="T32" i="10"/>
  <c r="U32" i="10"/>
  <c r="V32" i="10"/>
  <c r="W32" i="10"/>
  <c r="X32" i="10" s="1"/>
  <c r="T33" i="10"/>
  <c r="W33" i="10" s="1"/>
  <c r="X33" i="10" s="1"/>
  <c r="U33" i="10"/>
  <c r="V33" i="10"/>
  <c r="T34" i="10"/>
  <c r="W34" i="10" s="1"/>
  <c r="X34" i="10" s="1"/>
  <c r="U34" i="10"/>
  <c r="V34" i="10"/>
  <c r="T35" i="10"/>
  <c r="W35" i="10" s="1"/>
  <c r="X35" i="10" s="1"/>
  <c r="U35" i="10"/>
  <c r="V35" i="10"/>
  <c r="T36" i="10"/>
  <c r="U36" i="10"/>
  <c r="V36" i="10"/>
  <c r="W36" i="10"/>
  <c r="X36" i="10" s="1"/>
  <c r="V2" i="10"/>
  <c r="W2" i="10"/>
  <c r="X2" i="10"/>
  <c r="U2" i="10"/>
  <c r="T2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2" i="10"/>
  <c r="P2" i="10"/>
  <c r="O2" i="10"/>
  <c r="S4" i="10" l="1"/>
  <c r="T4" i="10"/>
  <c r="U4" i="10"/>
  <c r="S5" i="10"/>
  <c r="T5" i="10"/>
  <c r="U5" i="10"/>
  <c r="S6" i="10"/>
  <c r="T6" i="10"/>
  <c r="U6" i="10"/>
  <c r="S7" i="10"/>
  <c r="T7" i="10"/>
  <c r="U7" i="10"/>
  <c r="S3" i="10"/>
  <c r="T3" i="10"/>
  <c r="U3" i="10"/>
  <c r="B11" i="11"/>
  <c r="E20" i="11" s="1"/>
  <c r="B9" i="11"/>
  <c r="B18" i="11" s="1"/>
  <c r="B8" i="11"/>
  <c r="B19" i="11" s="1"/>
  <c r="B5" i="11"/>
  <c r="B6" i="11"/>
  <c r="B12" i="11"/>
  <c r="B13" i="11"/>
  <c r="B12" i="1"/>
  <c r="B11" i="7" s="1"/>
  <c r="B20" i="7" s="1"/>
  <c r="F11" i="7" s="1"/>
  <c r="G19" i="7" s="1"/>
  <c r="B10" i="1"/>
  <c r="B9" i="7" s="1"/>
  <c r="B18" i="7" s="1"/>
  <c r="G3" i="7" s="1"/>
  <c r="B9" i="1"/>
  <c r="B8" i="7" s="1"/>
  <c r="B19" i="7" s="1"/>
  <c r="V7" i="10"/>
  <c r="V6" i="10"/>
  <c r="V5" i="10"/>
  <c r="V4" i="10"/>
  <c r="V3" i="10"/>
  <c r="B5" i="1"/>
  <c r="B6" i="1"/>
  <c r="B17" i="1"/>
  <c r="B18" i="1"/>
  <c r="C23" i="1"/>
  <c r="A30" i="11"/>
  <c r="B24" i="11"/>
  <c r="E23" i="11"/>
  <c r="E22" i="11"/>
  <c r="I21" i="11"/>
  <c r="E24" i="11"/>
  <c r="G20" i="11"/>
  <c r="B4" i="7"/>
  <c r="B3" i="7"/>
  <c r="B16" i="7"/>
  <c r="B5" i="7"/>
  <c r="B6" i="7"/>
  <c r="B17" i="7"/>
  <c r="C29" i="7"/>
  <c r="B12" i="7"/>
  <c r="B24" i="7"/>
  <c r="B22" i="7"/>
  <c r="G6" i="7"/>
  <c r="B10" i="7"/>
  <c r="A24" i="1"/>
  <c r="D23" i="1"/>
  <c r="B23" i="1"/>
  <c r="B19" i="1"/>
  <c r="B14" i="1"/>
  <c r="A25" i="1"/>
  <c r="B24" i="1"/>
  <c r="D29" i="7"/>
  <c r="E29" i="7"/>
  <c r="G29" i="7"/>
  <c r="I21" i="7"/>
  <c r="G20" i="7"/>
  <c r="B25" i="1"/>
  <c r="F29" i="7"/>
  <c r="E23" i="1"/>
  <c r="F23" i="1"/>
  <c r="D24" i="1"/>
  <c r="E24" i="1"/>
  <c r="G24" i="1"/>
  <c r="B29" i="11"/>
  <c r="B30" i="11"/>
  <c r="B13" i="7"/>
  <c r="B29" i="7"/>
  <c r="C25" i="1"/>
  <c r="A26" i="1"/>
  <c r="G23" i="1"/>
  <c r="A30" i="7"/>
  <c r="B21" i="7"/>
  <c r="F10" i="7" s="1"/>
  <c r="G18" i="7" s="1"/>
  <c r="C24" i="1"/>
  <c r="A31" i="11"/>
  <c r="F24" i="1"/>
  <c r="D25" i="1"/>
  <c r="E25" i="1"/>
  <c r="G25" i="1"/>
  <c r="F25" i="1"/>
  <c r="A32" i="11"/>
  <c r="B31" i="11"/>
  <c r="C26" i="1"/>
  <c r="B26" i="1"/>
  <c r="D26" i="1"/>
  <c r="E26" i="1"/>
  <c r="G26" i="1"/>
  <c r="A27" i="1"/>
  <c r="D30" i="7"/>
  <c r="E30" i="7"/>
  <c r="C30" i="7"/>
  <c r="A31" i="7"/>
  <c r="B30" i="7"/>
  <c r="G30" i="7"/>
  <c r="F30" i="7"/>
  <c r="D31" i="7"/>
  <c r="E31" i="7"/>
  <c r="G31" i="7"/>
  <c r="F26" i="1"/>
  <c r="D27" i="1"/>
  <c r="E27" i="1"/>
  <c r="B32" i="11"/>
  <c r="A33" i="11"/>
  <c r="C31" i="7"/>
  <c r="F31" i="7"/>
  <c r="B31" i="7"/>
  <c r="A32" i="7"/>
  <c r="A28" i="1"/>
  <c r="C27" i="1"/>
  <c r="B27" i="1"/>
  <c r="G27" i="1"/>
  <c r="F27" i="1"/>
  <c r="D28" i="1"/>
  <c r="E28" i="1"/>
  <c r="G28" i="1"/>
  <c r="B28" i="1"/>
  <c r="C28" i="1"/>
  <c r="F28" i="1"/>
  <c r="A29" i="1"/>
  <c r="B33" i="11"/>
  <c r="A34" i="11"/>
  <c r="B32" i="7"/>
  <c r="C32" i="7"/>
  <c r="D32" i="7"/>
  <c r="E32" i="7"/>
  <c r="A33" i="7"/>
  <c r="G32" i="7"/>
  <c r="F32" i="7"/>
  <c r="D33" i="7"/>
  <c r="E33" i="7"/>
  <c r="G33" i="7"/>
  <c r="B33" i="7"/>
  <c r="C33" i="7"/>
  <c r="F33" i="7"/>
  <c r="A34" i="7"/>
  <c r="C29" i="1"/>
  <c r="D29" i="1"/>
  <c r="E29" i="1"/>
  <c r="F29" i="1"/>
  <c r="A30" i="1"/>
  <c r="B29" i="1"/>
  <c r="G29" i="1"/>
  <c r="A35" i="11"/>
  <c r="B34" i="11"/>
  <c r="C30" i="1"/>
  <c r="D30" i="1"/>
  <c r="E30" i="1"/>
  <c r="G30" i="1"/>
  <c r="B30" i="1"/>
  <c r="A31" i="1"/>
  <c r="A36" i="11"/>
  <c r="B35" i="11"/>
  <c r="D34" i="7"/>
  <c r="E34" i="7"/>
  <c r="G34" i="7"/>
  <c r="A35" i="7"/>
  <c r="B34" i="7"/>
  <c r="C34" i="7"/>
  <c r="F34" i="7"/>
  <c r="F30" i="1"/>
  <c r="B35" i="7"/>
  <c r="C35" i="7"/>
  <c r="D35" i="7"/>
  <c r="E35" i="7"/>
  <c r="A36" i="7"/>
  <c r="A37" i="11"/>
  <c r="B36" i="11"/>
  <c r="D31" i="1"/>
  <c r="E31" i="1"/>
  <c r="G31" i="1"/>
  <c r="C31" i="1"/>
  <c r="F31" i="1"/>
  <c r="A32" i="1"/>
  <c r="B31" i="1"/>
  <c r="G35" i="7"/>
  <c r="F35" i="7"/>
  <c r="B36" i="7"/>
  <c r="C36" i="7"/>
  <c r="D36" i="7"/>
  <c r="E36" i="7"/>
  <c r="A37" i="7"/>
  <c r="D32" i="1"/>
  <c r="E32" i="1"/>
  <c r="G32" i="1"/>
  <c r="C32" i="1"/>
  <c r="F32" i="1"/>
  <c r="B32" i="1"/>
  <c r="A33" i="1"/>
  <c r="B37" i="11"/>
  <c r="A38" i="11"/>
  <c r="G36" i="7"/>
  <c r="F36" i="7"/>
  <c r="D37" i="7"/>
  <c r="E37" i="7"/>
  <c r="G37" i="7"/>
  <c r="B38" i="11"/>
  <c r="A39" i="11"/>
  <c r="C33" i="1"/>
  <c r="D33" i="1"/>
  <c r="E33" i="1"/>
  <c r="A34" i="1"/>
  <c r="B33" i="1"/>
  <c r="B37" i="7"/>
  <c r="A38" i="7"/>
  <c r="C37" i="7"/>
  <c r="G33" i="1"/>
  <c r="F33" i="1"/>
  <c r="F37" i="7"/>
  <c r="A40" i="11"/>
  <c r="B39" i="11"/>
  <c r="C38" i="7"/>
  <c r="B38" i="7"/>
  <c r="A39" i="7"/>
  <c r="D38" i="7"/>
  <c r="E38" i="7"/>
  <c r="D34" i="1"/>
  <c r="E34" i="1"/>
  <c r="G34" i="1"/>
  <c r="A35" i="1"/>
  <c r="B34" i="1"/>
  <c r="G38" i="7"/>
  <c r="F38" i="7"/>
  <c r="F34" i="1"/>
  <c r="C34" i="1"/>
  <c r="B39" i="7"/>
  <c r="C39" i="7"/>
  <c r="D39" i="7"/>
  <c r="A40" i="7"/>
  <c r="E39" i="7"/>
  <c r="G39" i="7"/>
  <c r="A41" i="11"/>
  <c r="B40" i="11"/>
  <c r="C35" i="1"/>
  <c r="F35" i="1"/>
  <c r="E35" i="1"/>
  <c r="D35" i="1"/>
  <c r="G35" i="1"/>
  <c r="A36" i="1"/>
  <c r="B35" i="1"/>
  <c r="C41" i="11"/>
  <c r="B41" i="11"/>
  <c r="A42" i="11"/>
  <c r="D41" i="11"/>
  <c r="E41" i="11"/>
  <c r="F41" i="11"/>
  <c r="B40" i="7"/>
  <c r="A41" i="7"/>
  <c r="C40" i="7"/>
  <c r="C36" i="1"/>
  <c r="E36" i="1"/>
  <c r="A37" i="1"/>
  <c r="B36" i="1"/>
  <c r="F36" i="1"/>
  <c r="D36" i="1"/>
  <c r="F39" i="7"/>
  <c r="D40" i="7"/>
  <c r="F40" i="7"/>
  <c r="E40" i="7"/>
  <c r="G40" i="7"/>
  <c r="G36" i="1"/>
  <c r="B41" i="7"/>
  <c r="A42" i="7"/>
  <c r="C41" i="7"/>
  <c r="E41" i="7"/>
  <c r="D41" i="7"/>
  <c r="G41" i="7"/>
  <c r="F41" i="7"/>
  <c r="E37" i="1"/>
  <c r="F37" i="1"/>
  <c r="C37" i="1"/>
  <c r="A38" i="1"/>
  <c r="B37" i="1"/>
  <c r="D37" i="1"/>
  <c r="A43" i="11"/>
  <c r="E42" i="11"/>
  <c r="B42" i="11"/>
  <c r="C42" i="11"/>
  <c r="F42" i="11"/>
  <c r="D42" i="11"/>
  <c r="C43" i="11"/>
  <c r="E43" i="11"/>
  <c r="D43" i="11"/>
  <c r="B43" i="11"/>
  <c r="F43" i="11"/>
  <c r="A44" i="11"/>
  <c r="G37" i="1"/>
  <c r="C38" i="1"/>
  <c r="E38" i="1"/>
  <c r="B38" i="1"/>
  <c r="A39" i="1"/>
  <c r="F38" i="1"/>
  <c r="D38" i="1"/>
  <c r="D42" i="7"/>
  <c r="C42" i="7"/>
  <c r="B42" i="7"/>
  <c r="A43" i="7"/>
  <c r="E42" i="7"/>
  <c r="F42" i="7"/>
  <c r="G42" i="7"/>
  <c r="B43" i="7"/>
  <c r="C43" i="7"/>
  <c r="F43" i="7"/>
  <c r="A44" i="7"/>
  <c r="D43" i="7"/>
  <c r="E43" i="7"/>
  <c r="G43" i="7"/>
  <c r="G38" i="1"/>
  <c r="C44" i="11"/>
  <c r="D44" i="11"/>
  <c r="F44" i="11"/>
  <c r="A45" i="11"/>
  <c r="B44" i="11"/>
  <c r="E44" i="11"/>
  <c r="G44" i="11" s="1"/>
  <c r="C39" i="1"/>
  <c r="B39" i="1"/>
  <c r="E39" i="1"/>
  <c r="D39" i="1"/>
  <c r="G39" i="1"/>
  <c r="F39" i="1"/>
  <c r="A40" i="1"/>
  <c r="C40" i="1"/>
  <c r="A41" i="1"/>
  <c r="E40" i="1"/>
  <c r="D40" i="1"/>
  <c r="G40" i="1"/>
  <c r="B40" i="1"/>
  <c r="F40" i="1"/>
  <c r="C45" i="11"/>
  <c r="E45" i="11"/>
  <c r="A46" i="11"/>
  <c r="D45" i="11"/>
  <c r="F45" i="11"/>
  <c r="B45" i="11"/>
  <c r="B44" i="7"/>
  <c r="A45" i="7"/>
  <c r="C44" i="7"/>
  <c r="E44" i="7"/>
  <c r="D44" i="7"/>
  <c r="F44" i="7"/>
  <c r="B45" i="7"/>
  <c r="A46" i="7"/>
  <c r="C45" i="7"/>
  <c r="F45" i="7"/>
  <c r="D45" i="7"/>
  <c r="E45" i="7"/>
  <c r="G45" i="7"/>
  <c r="E41" i="1"/>
  <c r="D41" i="1"/>
  <c r="G41" i="1"/>
  <c r="A42" i="1"/>
  <c r="B41" i="1"/>
  <c r="C41" i="1"/>
  <c r="F41" i="1"/>
  <c r="A47" i="11"/>
  <c r="B46" i="11"/>
  <c r="F46" i="11"/>
  <c r="E46" i="11"/>
  <c r="C46" i="11"/>
  <c r="D46" i="11"/>
  <c r="G44" i="7"/>
  <c r="B46" i="7"/>
  <c r="D46" i="7"/>
  <c r="F46" i="7"/>
  <c r="A47" i="7"/>
  <c r="E46" i="7"/>
  <c r="G46" i="7"/>
  <c r="C46" i="7"/>
  <c r="E47" i="11"/>
  <c r="C47" i="11"/>
  <c r="A48" i="11"/>
  <c r="B47" i="11"/>
  <c r="D47" i="11"/>
  <c r="F47" i="11"/>
  <c r="E42" i="1"/>
  <c r="D42" i="1"/>
  <c r="G42" i="1"/>
  <c r="C42" i="1"/>
  <c r="B42" i="1"/>
  <c r="A43" i="1"/>
  <c r="F42" i="1"/>
  <c r="C43" i="1"/>
  <c r="F43" i="1"/>
  <c r="B43" i="1"/>
  <c r="E43" i="1"/>
  <c r="D43" i="1"/>
  <c r="G43" i="1"/>
  <c r="A44" i="1"/>
  <c r="C48" i="11"/>
  <c r="E48" i="11"/>
  <c r="D48" i="11"/>
  <c r="F48" i="11"/>
  <c r="A49" i="11"/>
  <c r="B48" i="11"/>
  <c r="B47" i="7"/>
  <c r="E47" i="7"/>
  <c r="F47" i="7"/>
  <c r="C47" i="7"/>
  <c r="A48" i="7"/>
  <c r="D47" i="7"/>
  <c r="C44" i="1"/>
  <c r="E44" i="1"/>
  <c r="D44" i="1"/>
  <c r="A45" i="1"/>
  <c r="F44" i="1"/>
  <c r="B44" i="1"/>
  <c r="G47" i="7"/>
  <c r="B48" i="7"/>
  <c r="D48" i="7"/>
  <c r="C48" i="7"/>
  <c r="F48" i="7"/>
  <c r="E48" i="7"/>
  <c r="G48" i="7"/>
  <c r="A49" i="7"/>
  <c r="C49" i="11"/>
  <c r="F49" i="11"/>
  <c r="D49" i="11"/>
  <c r="E49" i="11"/>
  <c r="B49" i="11"/>
  <c r="A50" i="11"/>
  <c r="E45" i="1"/>
  <c r="B45" i="1"/>
  <c r="D45" i="1"/>
  <c r="F45" i="1"/>
  <c r="C45" i="1"/>
  <c r="A46" i="1"/>
  <c r="G44" i="1"/>
  <c r="C50" i="11"/>
  <c r="D50" i="11"/>
  <c r="F50" i="11"/>
  <c r="E50" i="11"/>
  <c r="A51" i="11"/>
  <c r="B50" i="11"/>
  <c r="B49" i="7"/>
  <c r="C49" i="7"/>
  <c r="A50" i="7"/>
  <c r="F49" i="7"/>
  <c r="D49" i="7"/>
  <c r="E49" i="7"/>
  <c r="E46" i="1"/>
  <c r="D46" i="1"/>
  <c r="G46" i="1"/>
  <c r="C46" i="1"/>
  <c r="F46" i="1"/>
  <c r="B46" i="1"/>
  <c r="A47" i="1"/>
  <c r="D50" i="7"/>
  <c r="A51" i="7"/>
  <c r="C50" i="7"/>
  <c r="E50" i="7"/>
  <c r="G50" i="7"/>
  <c r="B50" i="7"/>
  <c r="F50" i="7"/>
  <c r="C51" i="11"/>
  <c r="A52" i="11"/>
  <c r="B51" i="11"/>
  <c r="E51" i="11"/>
  <c r="D51" i="11"/>
  <c r="F51" i="11"/>
  <c r="G49" i="7"/>
  <c r="G45" i="1"/>
  <c r="B51" i="7"/>
  <c r="C51" i="7"/>
  <c r="F51" i="7"/>
  <c r="E51" i="7"/>
  <c r="D51" i="7"/>
  <c r="A52" i="7"/>
  <c r="C52" i="11"/>
  <c r="B52" i="11"/>
  <c r="D52" i="11"/>
  <c r="F52" i="11"/>
  <c r="A53" i="11"/>
  <c r="E52" i="11"/>
  <c r="C47" i="1"/>
  <c r="B47" i="1"/>
  <c r="D47" i="1"/>
  <c r="F47" i="1"/>
  <c r="E47" i="1"/>
  <c r="G47" i="1"/>
  <c r="A48" i="1"/>
  <c r="C48" i="1"/>
  <c r="E48" i="1"/>
  <c r="B48" i="1"/>
  <c r="F48" i="1"/>
  <c r="A49" i="1"/>
  <c r="D48" i="1"/>
  <c r="B52" i="7"/>
  <c r="E52" i="7"/>
  <c r="A53" i="7"/>
  <c r="C52" i="7"/>
  <c r="D52" i="7"/>
  <c r="F52" i="7"/>
  <c r="C53" i="11"/>
  <c r="E53" i="11"/>
  <c r="D53" i="11"/>
  <c r="F53" i="11"/>
  <c r="B53" i="11"/>
  <c r="A54" i="11"/>
  <c r="G51" i="7"/>
  <c r="B53" i="7"/>
  <c r="A54" i="7"/>
  <c r="F53" i="7"/>
  <c r="E53" i="7"/>
  <c r="D53" i="7"/>
  <c r="G53" i="7"/>
  <c r="C53" i="7"/>
  <c r="G48" i="1"/>
  <c r="C54" i="11"/>
  <c r="F54" i="11"/>
  <c r="D54" i="11"/>
  <c r="A55" i="11"/>
  <c r="B54" i="11"/>
  <c r="E54" i="11"/>
  <c r="G52" i="7"/>
  <c r="E49" i="1"/>
  <c r="D49" i="1"/>
  <c r="G49" i="1"/>
  <c r="C49" i="1"/>
  <c r="B49" i="1"/>
  <c r="F49" i="1"/>
  <c r="A50" i="1"/>
  <c r="C55" i="11"/>
  <c r="F55" i="11"/>
  <c r="A56" i="11"/>
  <c r="E55" i="11"/>
  <c r="D55" i="11"/>
  <c r="B55" i="11"/>
  <c r="F54" i="7"/>
  <c r="D54" i="7"/>
  <c r="C54" i="7"/>
  <c r="A55" i="7"/>
  <c r="E54" i="7"/>
  <c r="B54" i="7"/>
  <c r="E50" i="1"/>
  <c r="C50" i="1"/>
  <c r="F50" i="1"/>
  <c r="D50" i="1"/>
  <c r="B50" i="1"/>
  <c r="A51" i="1"/>
  <c r="G54" i="7"/>
  <c r="C56" i="11"/>
  <c r="A57" i="11"/>
  <c r="F56" i="11"/>
  <c r="E56" i="11"/>
  <c r="D56" i="11"/>
  <c r="B56" i="11"/>
  <c r="C51" i="1"/>
  <c r="E51" i="1"/>
  <c r="F51" i="1"/>
  <c r="B51" i="1"/>
  <c r="A52" i="1"/>
  <c r="D51" i="1"/>
  <c r="B55" i="7"/>
  <c r="A56" i="7"/>
  <c r="F55" i="7"/>
  <c r="D55" i="7"/>
  <c r="C55" i="7"/>
  <c r="E55" i="7"/>
  <c r="G55" i="7"/>
  <c r="G50" i="1"/>
  <c r="C52" i="1"/>
  <c r="E52" i="1"/>
  <c r="F52" i="1"/>
  <c r="D52" i="1"/>
  <c r="A53" i="1"/>
  <c r="B52" i="1"/>
  <c r="C57" i="11"/>
  <c r="F57" i="11"/>
  <c r="E57" i="11"/>
  <c r="A58" i="11"/>
  <c r="D57" i="11"/>
  <c r="B57" i="11"/>
  <c r="B56" i="7"/>
  <c r="E56" i="7"/>
  <c r="D56" i="7"/>
  <c r="G56" i="7"/>
  <c r="C56" i="7"/>
  <c r="A57" i="7"/>
  <c r="F56" i="7"/>
  <c r="G51" i="1"/>
  <c r="B57" i="7"/>
  <c r="D57" i="7"/>
  <c r="F57" i="7"/>
  <c r="E57" i="7"/>
  <c r="G57" i="7"/>
  <c r="A58" i="7"/>
  <c r="C57" i="7"/>
  <c r="G52" i="1"/>
  <c r="C58" i="11"/>
  <c r="B58" i="11"/>
  <c r="A59" i="11"/>
  <c r="F58" i="11"/>
  <c r="E58" i="11"/>
  <c r="D58" i="11"/>
  <c r="E53" i="1"/>
  <c r="D53" i="1"/>
  <c r="G53" i="1"/>
  <c r="C53" i="1"/>
  <c r="B53" i="1"/>
  <c r="A54" i="1"/>
  <c r="F53" i="1"/>
  <c r="E54" i="1"/>
  <c r="C54" i="1"/>
  <c r="B54" i="1"/>
  <c r="F54" i="1"/>
  <c r="A55" i="1"/>
  <c r="D54" i="1"/>
  <c r="C59" i="11"/>
  <c r="E59" i="11"/>
  <c r="D59" i="11"/>
  <c r="F59" i="11"/>
  <c r="A60" i="11"/>
  <c r="B59" i="11"/>
  <c r="B58" i="7"/>
  <c r="E58" i="7"/>
  <c r="D58" i="7"/>
  <c r="F58" i="7"/>
  <c r="C58" i="7"/>
  <c r="C60" i="11"/>
  <c r="D60" i="11"/>
  <c r="A61" i="11"/>
  <c r="B60" i="11"/>
  <c r="E60" i="11"/>
  <c r="F60" i="11"/>
  <c r="G58" i="7"/>
  <c r="C55" i="1"/>
  <c r="E55" i="1"/>
  <c r="F55" i="1"/>
  <c r="B55" i="1"/>
  <c r="D55" i="1"/>
  <c r="A56" i="1"/>
  <c r="G54" i="1"/>
  <c r="C61" i="11"/>
  <c r="D61" i="11"/>
  <c r="F61" i="11"/>
  <c r="A62" i="11"/>
  <c r="E61" i="11"/>
  <c r="B61" i="11"/>
  <c r="C56" i="1"/>
  <c r="E56" i="1"/>
  <c r="B56" i="1"/>
  <c r="A57" i="1"/>
  <c r="F56" i="1"/>
  <c r="D56" i="1"/>
  <c r="G55" i="1"/>
  <c r="A63" i="11"/>
  <c r="C62" i="11"/>
  <c r="E62" i="11"/>
  <c r="D62" i="11"/>
  <c r="B62" i="11"/>
  <c r="F62" i="11"/>
  <c r="E57" i="1"/>
  <c r="D57" i="1"/>
  <c r="G57" i="1"/>
  <c r="C57" i="1"/>
  <c r="F57" i="1"/>
  <c r="A58" i="1"/>
  <c r="B57" i="1"/>
  <c r="G56" i="1"/>
  <c r="E58" i="1"/>
  <c r="C58" i="1"/>
  <c r="B58" i="1"/>
  <c r="A59" i="1"/>
  <c r="F58" i="1"/>
  <c r="D58" i="1"/>
  <c r="C63" i="11"/>
  <c r="B63" i="11"/>
  <c r="A64" i="11"/>
  <c r="E63" i="11"/>
  <c r="D63" i="11"/>
  <c r="F63" i="11"/>
  <c r="C59" i="1"/>
  <c r="E59" i="1"/>
  <c r="D59" i="1"/>
  <c r="G59" i="1"/>
  <c r="B59" i="1"/>
  <c r="A60" i="1"/>
  <c r="F59" i="1"/>
  <c r="C64" i="11"/>
  <c r="A65" i="11"/>
  <c r="F64" i="11"/>
  <c r="E64" i="11"/>
  <c r="B64" i="11"/>
  <c r="D64" i="11"/>
  <c r="G58" i="1"/>
  <c r="C65" i="11"/>
  <c r="F65" i="11"/>
  <c r="E65" i="11"/>
  <c r="D65" i="11"/>
  <c r="A66" i="11"/>
  <c r="B65" i="11"/>
  <c r="C60" i="1"/>
  <c r="E60" i="1"/>
  <c r="D60" i="1"/>
  <c r="G60" i="1"/>
  <c r="B60" i="1"/>
  <c r="A61" i="1"/>
  <c r="F60" i="1"/>
  <c r="E61" i="1"/>
  <c r="F61" i="1"/>
  <c r="C61" i="1"/>
  <c r="B61" i="1"/>
  <c r="D61" i="1"/>
  <c r="A62" i="1"/>
  <c r="C66" i="11"/>
  <c r="E66" i="11"/>
  <c r="D66" i="11"/>
  <c r="B66" i="11"/>
  <c r="F66" i="11"/>
  <c r="A67" i="11"/>
  <c r="C67" i="11"/>
  <c r="E67" i="11"/>
  <c r="D67" i="11"/>
  <c r="B67" i="11"/>
  <c r="F67" i="11"/>
  <c r="A68" i="11"/>
  <c r="E62" i="1"/>
  <c r="C62" i="1"/>
  <c r="A63" i="1"/>
  <c r="B62" i="1"/>
  <c r="D62" i="1"/>
  <c r="F62" i="1"/>
  <c r="G61" i="1"/>
  <c r="G62" i="1"/>
  <c r="C68" i="11"/>
  <c r="F68" i="11"/>
  <c r="E68" i="11"/>
  <c r="D68" i="11"/>
  <c r="B68" i="11"/>
  <c r="A69" i="11"/>
  <c r="C63" i="1"/>
  <c r="F63" i="1"/>
  <c r="E63" i="1"/>
  <c r="D63" i="1"/>
  <c r="G63" i="1"/>
  <c r="B63" i="1"/>
  <c r="A64" i="1"/>
  <c r="C69" i="11"/>
  <c r="B69" i="11"/>
  <c r="A70" i="11"/>
  <c r="F69" i="11"/>
  <c r="E69" i="11"/>
  <c r="D69" i="11"/>
  <c r="C64" i="1"/>
  <c r="E64" i="1"/>
  <c r="D64" i="1"/>
  <c r="G64" i="1"/>
  <c r="F64" i="1"/>
  <c r="B64" i="1"/>
  <c r="C70" i="11"/>
  <c r="D70" i="11"/>
  <c r="F70" i="11"/>
  <c r="A71" i="11"/>
  <c r="B70" i="11"/>
  <c r="E70" i="11"/>
  <c r="G70" i="11" s="1"/>
  <c r="C71" i="11"/>
  <c r="A72" i="11"/>
  <c r="D71" i="11"/>
  <c r="B71" i="11"/>
  <c r="F71" i="11"/>
  <c r="E71" i="11"/>
  <c r="C72" i="11"/>
  <c r="A73" i="11"/>
  <c r="B72" i="11"/>
  <c r="E72" i="11"/>
  <c r="D72" i="11"/>
  <c r="F72" i="11"/>
  <c r="C73" i="11"/>
  <c r="F73" i="11"/>
  <c r="E73" i="11"/>
  <c r="D73" i="11"/>
  <c r="A74" i="11"/>
  <c r="B73" i="11"/>
  <c r="B74" i="11"/>
  <c r="A75" i="11"/>
  <c r="F74" i="11"/>
  <c r="C74" i="11"/>
  <c r="E74" i="11"/>
  <c r="D74" i="11"/>
  <c r="C75" i="11"/>
  <c r="B75" i="11"/>
  <c r="F75" i="11"/>
  <c r="D75" i="11"/>
  <c r="A76" i="11"/>
  <c r="E75" i="11"/>
  <c r="C76" i="11"/>
  <c r="F76" i="11"/>
  <c r="E76" i="11"/>
  <c r="D76" i="11"/>
  <c r="B76" i="11"/>
  <c r="A77" i="11"/>
  <c r="C77" i="11"/>
  <c r="B77" i="11"/>
  <c r="D77" i="11"/>
  <c r="A78" i="11"/>
  <c r="E77" i="11"/>
  <c r="F77" i="11"/>
  <c r="F78" i="11"/>
  <c r="D78" i="11"/>
  <c r="B78" i="11"/>
  <c r="A79" i="11"/>
  <c r="C78" i="11"/>
  <c r="E78" i="11"/>
  <c r="G78" i="11" s="1"/>
  <c r="C79" i="11"/>
  <c r="D79" i="11"/>
  <c r="B79" i="11"/>
  <c r="F79" i="11"/>
  <c r="A80" i="11"/>
  <c r="E79" i="11"/>
  <c r="G79" i="11" s="1"/>
  <c r="C80" i="11"/>
  <c r="B80" i="11"/>
  <c r="A81" i="11"/>
  <c r="F80" i="11"/>
  <c r="E80" i="11"/>
  <c r="D80" i="11"/>
  <c r="C81" i="11"/>
  <c r="F81" i="11"/>
  <c r="E81" i="11"/>
  <c r="D81" i="11"/>
  <c r="A82" i="11"/>
  <c r="B81" i="11"/>
  <c r="C82" i="11"/>
  <c r="B82" i="11"/>
  <c r="D82" i="11"/>
  <c r="F82" i="11"/>
  <c r="A83" i="11"/>
  <c r="E82" i="11"/>
  <c r="C83" i="11"/>
  <c r="A84" i="11"/>
  <c r="B83" i="11"/>
  <c r="F83" i="11"/>
  <c r="E83" i="11"/>
  <c r="D83" i="11"/>
  <c r="C84" i="11"/>
  <c r="B84" i="11"/>
  <c r="E84" i="11"/>
  <c r="D84" i="11"/>
  <c r="F84" i="11"/>
  <c r="G59" i="11" l="1"/>
  <c r="W4" i="10"/>
  <c r="X4" i="10" s="1"/>
  <c r="P4" i="10" s="1"/>
  <c r="O6" i="10"/>
  <c r="G60" i="11"/>
  <c r="G49" i="11"/>
  <c r="G41" i="11"/>
  <c r="G48" i="11"/>
  <c r="W3" i="10"/>
  <c r="X3" i="10" s="1"/>
  <c r="O36" i="10"/>
  <c r="O7" i="10"/>
  <c r="G47" i="11"/>
  <c r="W6" i="10"/>
  <c r="X6" i="10" s="1"/>
  <c r="G83" i="11"/>
  <c r="G77" i="11"/>
  <c r="G56" i="11"/>
  <c r="O35" i="10"/>
  <c r="G73" i="11"/>
  <c r="G69" i="11"/>
  <c r="G66" i="11"/>
  <c r="G61" i="11"/>
  <c r="G50" i="11"/>
  <c r="P3" i="10"/>
  <c r="O4" i="10"/>
  <c r="P6" i="10"/>
  <c r="G75" i="11"/>
  <c r="G67" i="11"/>
  <c r="W5" i="10"/>
  <c r="X5" i="10" s="1"/>
  <c r="P5" i="10" s="1"/>
  <c r="P36" i="10"/>
  <c r="W7" i="10"/>
  <c r="X7" i="10" s="1"/>
  <c r="P7" i="10" s="1"/>
  <c r="G80" i="11"/>
  <c r="G63" i="11"/>
  <c r="B21" i="11"/>
  <c r="G7" i="11" s="1"/>
  <c r="G17" i="11" s="1"/>
  <c r="O5" i="10"/>
  <c r="G84" i="11"/>
  <c r="G68" i="11"/>
  <c r="G65" i="11"/>
  <c r="G46" i="11"/>
  <c r="G81" i="11"/>
  <c r="B23" i="7"/>
  <c r="F12" i="7" s="1"/>
  <c r="G57" i="11"/>
  <c r="G55" i="11"/>
  <c r="O3" i="10"/>
  <c r="P35" i="10"/>
  <c r="G54" i="11"/>
  <c r="G82" i="11"/>
  <c r="G74" i="11"/>
  <c r="G51" i="11"/>
  <c r="B16" i="11"/>
  <c r="E21" i="11" s="1"/>
  <c r="B20" i="11" s="1"/>
  <c r="G76" i="11"/>
  <c r="G71" i="11"/>
  <c r="G64" i="11"/>
  <c r="G58" i="11"/>
  <c r="G53" i="11"/>
  <c r="G52" i="11"/>
  <c r="G45" i="11"/>
  <c r="G42" i="11"/>
  <c r="G4" i="7"/>
  <c r="G5" i="7" s="1"/>
  <c r="G17" i="7" s="1"/>
  <c r="G72" i="11"/>
  <c r="G62" i="11"/>
  <c r="G43" i="11"/>
  <c r="D29" i="11" l="1"/>
  <c r="E29" i="11" s="1"/>
  <c r="G29" i="11" s="1"/>
  <c r="B17" i="11"/>
  <c r="C39" i="11" s="1"/>
  <c r="G21" i="11"/>
  <c r="B22" i="11" s="1"/>
  <c r="G9" i="11" s="1"/>
  <c r="G5" i="11" s="1"/>
  <c r="G16" i="7"/>
  <c r="B25" i="11"/>
  <c r="E25" i="11"/>
  <c r="G8" i="11"/>
  <c r="G18" i="11" s="1"/>
  <c r="B23" i="11"/>
  <c r="G10" i="11" s="1"/>
  <c r="C32" i="11" l="1"/>
  <c r="C34" i="11"/>
  <c r="C31" i="11"/>
  <c r="C30" i="11"/>
  <c r="C35" i="11"/>
  <c r="C33" i="11"/>
  <c r="C36" i="11"/>
  <c r="C29" i="11"/>
  <c r="F29" i="11" s="1"/>
  <c r="D30" i="11" s="1"/>
  <c r="E30" i="11" s="1"/>
  <c r="G4" i="11"/>
  <c r="G15" i="11" s="1"/>
  <c r="C38" i="11"/>
  <c r="C37" i="11"/>
  <c r="G6" i="11" l="1"/>
  <c r="G16" i="11" s="1"/>
  <c r="G30" i="11"/>
  <c r="F30" i="11"/>
  <c r="D31" i="11" s="1"/>
  <c r="E31" i="11" s="1"/>
  <c r="G31" i="11" l="1"/>
  <c r="F31" i="11"/>
  <c r="D32" i="11" s="1"/>
  <c r="E32" i="11" l="1"/>
  <c r="G32" i="11" l="1"/>
  <c r="F32" i="11"/>
  <c r="D33" i="11" s="1"/>
  <c r="E33" i="11" l="1"/>
  <c r="G33" i="11" l="1"/>
  <c r="F33" i="11"/>
  <c r="D34" i="11" s="1"/>
  <c r="E34" i="11" l="1"/>
  <c r="G34" i="11" l="1"/>
  <c r="F34" i="11"/>
  <c r="D35" i="11" s="1"/>
  <c r="E35" i="11" l="1"/>
  <c r="G35" i="11" l="1"/>
  <c r="F35" i="11"/>
  <c r="D36" i="11" s="1"/>
  <c r="E36" i="11" l="1"/>
  <c r="G36" i="11" l="1"/>
  <c r="F36" i="11"/>
  <c r="D37" i="11" s="1"/>
  <c r="E37" i="11" l="1"/>
  <c r="G37" i="11" l="1"/>
  <c r="F37" i="11"/>
  <c r="D38" i="11" s="1"/>
  <c r="E38" i="11" l="1"/>
  <c r="G38" i="11" l="1"/>
  <c r="F38" i="11"/>
  <c r="D39" i="11" s="1"/>
  <c r="E39" i="11" l="1"/>
  <c r="G39" i="11" l="1"/>
  <c r="F39" i="11"/>
  <c r="D40" i="11" s="1"/>
  <c r="F40" i="11" l="1"/>
  <c r="E40" i="11"/>
  <c r="G40" i="11" s="1"/>
  <c r="C40" i="11" l="1"/>
</calcChain>
</file>

<file path=xl/sharedStrings.xml><?xml version="1.0" encoding="utf-8"?>
<sst xmlns="http://schemas.openxmlformats.org/spreadsheetml/2006/main" count="360" uniqueCount="174">
  <si>
    <t>信息录入区</t>
  </si>
  <si>
    <t>咨询服务费</t>
  </si>
  <si>
    <t>计息类型</t>
  </si>
  <si>
    <t>等额本息</t>
  </si>
  <si>
    <t>新公司名称</t>
  </si>
  <si>
    <t>服务费名称</t>
  </si>
  <si>
    <t>比例</t>
  </si>
  <si>
    <t>金额</t>
  </si>
  <si>
    <t>审批金额</t>
  </si>
  <si>
    <t>与第一笔一致</t>
  </si>
  <si>
    <t>普惠</t>
  </si>
  <si>
    <t>审批期限</t>
  </si>
  <si>
    <t>新疆万卡</t>
  </si>
  <si>
    <t>信息咨询服务费</t>
  </si>
  <si>
    <t>合同年利率</t>
  </si>
  <si>
    <t>仲裁对接技术服务费</t>
  </si>
  <si>
    <t>合同金额的0.3%</t>
  </si>
  <si>
    <t>保持不变</t>
  </si>
  <si>
    <t>合同月利率</t>
  </si>
  <si>
    <t>仲裁服务费比率</t>
  </si>
  <si>
    <t>信用管理费区</t>
  </si>
  <si>
    <t>信用管理费费率</t>
  </si>
  <si>
    <t>公司名称</t>
  </si>
  <si>
    <t>咨询服务费率</t>
  </si>
  <si>
    <t>广东南枫融资担保集团有限公司</t>
  </si>
  <si>
    <t>保险担保保障计划专款</t>
  </si>
  <si>
    <t>E列填充为红色的计算显示值，填充为黄色的计算显示并走资金流</t>
  </si>
  <si>
    <t>恒元费用比例</t>
  </si>
  <si>
    <t>不需要</t>
  </si>
  <si>
    <t>太平保险</t>
  </si>
  <si>
    <t>保险费</t>
  </si>
  <si>
    <t>保险费费率/担保费率</t>
  </si>
  <si>
    <t>贷后管理费</t>
  </si>
  <si>
    <t>放款日期</t>
  </si>
  <si>
    <t>首个还款日期</t>
  </si>
  <si>
    <t>修改后</t>
  </si>
  <si>
    <t>客户风险评级</t>
  </si>
  <si>
    <t>A</t>
  </si>
  <si>
    <t>收入比例</t>
  </si>
  <si>
    <t>贷款合同信息区</t>
  </si>
  <si>
    <t>玖富普惠</t>
  </si>
  <si>
    <t>网贷信息中介服务费</t>
  </si>
  <si>
    <t>原收入的50%+仲裁费+贷后管理费</t>
  </si>
  <si>
    <t>合同金额</t>
  </si>
  <si>
    <t>原收入的50%</t>
  </si>
  <si>
    <t>每月还款金额，请牢记</t>
  </si>
  <si>
    <t>与之前的保持一致</t>
  </si>
  <si>
    <t>信用管理费</t>
  </si>
  <si>
    <t>保险费 （第一笔）</t>
  </si>
  <si>
    <t>仲裁费用（第一笔）</t>
  </si>
  <si>
    <t>担保费</t>
  </si>
  <si>
    <t xml:space="preserve">保险费（第二笔）  </t>
  </si>
  <si>
    <t>仲裁费用（第二笔）</t>
  </si>
  <si>
    <t>出函费率</t>
  </si>
  <si>
    <t>仲裁费</t>
  </si>
  <si>
    <t>担保费（第一笔）</t>
  </si>
  <si>
    <t>担保费（第二笔）</t>
  </si>
  <si>
    <t>代付金额</t>
  </si>
  <si>
    <t>出函费用（第一笔）</t>
  </si>
  <si>
    <t>合同金额总</t>
  </si>
  <si>
    <t>出函费用（第二笔）</t>
  </si>
  <si>
    <t>还款计划表生成区</t>
  </si>
  <si>
    <t>期数</t>
  </si>
  <si>
    <t>还款日期</t>
  </si>
  <si>
    <t>还款金额</t>
  </si>
  <si>
    <t>对应还款日前本金剩余金额</t>
  </si>
  <si>
    <t>当期利息</t>
  </si>
  <si>
    <t>当期归还本金</t>
  </si>
  <si>
    <t>当期一次性还款金额</t>
  </si>
  <si>
    <t>机构录入</t>
  </si>
  <si>
    <t>按照合同录入</t>
  </si>
  <si>
    <t>玖富的综合定价</t>
  </si>
  <si>
    <t>红包金额</t>
  </si>
  <si>
    <t>录入</t>
  </si>
  <si>
    <t>贷后管理费费用比例</t>
  </si>
  <si>
    <t>保险费费率</t>
  </si>
  <si>
    <t>AA</t>
  </si>
  <si>
    <t>出函费用</t>
  </si>
  <si>
    <t>审批金额*出函费率</t>
  </si>
  <si>
    <t>合同年利率的映射关系</t>
  </si>
  <si>
    <t>期限+评级</t>
  </si>
  <si>
    <t>年利率</t>
  </si>
  <si>
    <t>期限范围</t>
  </si>
  <si>
    <t>BB</t>
  </si>
  <si>
    <t>B</t>
  </si>
  <si>
    <t>C</t>
  </si>
  <si>
    <t>D</t>
  </si>
  <si>
    <t>E</t>
  </si>
  <si>
    <t>3AA</t>
  </si>
  <si>
    <t>6AA</t>
  </si>
  <si>
    <t>12AA</t>
  </si>
  <si>
    <t>18AA</t>
  </si>
  <si>
    <t>24AA</t>
  </si>
  <si>
    <t>36AA</t>
  </si>
  <si>
    <t>48AA</t>
  </si>
  <si>
    <t>3A</t>
  </si>
  <si>
    <t>6A</t>
  </si>
  <si>
    <t>12A</t>
  </si>
  <si>
    <t>18A</t>
  </si>
  <si>
    <t>24A</t>
  </si>
  <si>
    <t>36A</t>
  </si>
  <si>
    <t>48A</t>
  </si>
  <si>
    <t>3BB</t>
  </si>
  <si>
    <t>6BB</t>
  </si>
  <si>
    <t>12BB</t>
  </si>
  <si>
    <t>18BB</t>
  </si>
  <si>
    <t>24BB</t>
  </si>
  <si>
    <t>36BB</t>
  </si>
  <si>
    <t>48BB</t>
  </si>
  <si>
    <t>3B</t>
  </si>
  <si>
    <t>6B</t>
  </si>
  <si>
    <t>12B</t>
  </si>
  <si>
    <t>18B</t>
  </si>
  <si>
    <t>24B</t>
  </si>
  <si>
    <t>36B</t>
  </si>
  <si>
    <t>48B</t>
  </si>
  <si>
    <t>3C</t>
  </si>
  <si>
    <t>6C</t>
  </si>
  <si>
    <t>12C</t>
  </si>
  <si>
    <t>18C</t>
  </si>
  <si>
    <t>24C</t>
  </si>
  <si>
    <t>36C</t>
  </si>
  <si>
    <t>48C</t>
  </si>
  <si>
    <t>3D</t>
  </si>
  <si>
    <t>6D</t>
  </si>
  <si>
    <t>12D</t>
  </si>
  <si>
    <t>18D</t>
  </si>
  <si>
    <t>3E</t>
  </si>
  <si>
    <t>6E</t>
  </si>
  <si>
    <t>12E</t>
  </si>
  <si>
    <t>费率</t>
  </si>
  <si>
    <t>网贷信息技术服务费</t>
    <phoneticPr fontId="28" type="noConversion"/>
  </si>
  <si>
    <t>玖富金科</t>
    <phoneticPr fontId="28" type="noConversion"/>
  </si>
  <si>
    <t>技术服务费</t>
    <phoneticPr fontId="28" type="noConversion"/>
  </si>
  <si>
    <t>撮合服务费</t>
    <phoneticPr fontId="28" type="noConversion"/>
  </si>
  <si>
    <t>走资金流信息的相关配置</t>
    <phoneticPr fontId="28" type="noConversion"/>
  </si>
  <si>
    <t>原收入的50%+仲裁费+贷后管理费</t>
    <phoneticPr fontId="28" type="noConversion"/>
  </si>
  <si>
    <t>5月4日-5月25日 万卡（万普+叮当+帮你还+品质）收入比例</t>
    <phoneticPr fontId="28" type="noConversion"/>
  </si>
  <si>
    <t>总收入的26.5%</t>
    <phoneticPr fontId="28" type="noConversion"/>
  </si>
  <si>
    <t>总收入-撮合服务费-技术服务费</t>
    <phoneticPr fontId="28" type="noConversion"/>
  </si>
  <si>
    <t>总收入的23.5%</t>
    <phoneticPr fontId="28" type="noConversion"/>
  </si>
  <si>
    <t>撮合服务费</t>
  </si>
  <si>
    <t>原映射关系</t>
  </si>
  <si>
    <t>信用管理费/审批金额</t>
    <phoneticPr fontId="29" type="noConversion"/>
  </si>
  <si>
    <t>信用管理费率</t>
  </si>
  <si>
    <t>保险费、保障计划转款/合同金额</t>
    <phoneticPr fontId="29" type="noConversion"/>
  </si>
  <si>
    <t>保障计划转款</t>
    <phoneticPr fontId="29" type="noConversion"/>
  </si>
  <si>
    <t>咨询服务费/审批金额</t>
    <phoneticPr fontId="29" type="noConversion"/>
  </si>
  <si>
    <t>AA</t>
    <phoneticPr fontId="28" type="noConversion"/>
  </si>
  <si>
    <t>A</t>
    <phoneticPr fontId="28" type="noConversion"/>
  </si>
  <si>
    <t>BB</t>
    <phoneticPr fontId="28" type="noConversion"/>
  </si>
  <si>
    <t>B</t>
    <phoneticPr fontId="28" type="noConversion"/>
  </si>
  <si>
    <t>18c</t>
  </si>
  <si>
    <t>24c</t>
  </si>
  <si>
    <t>24D</t>
  </si>
  <si>
    <t>18E</t>
  </si>
  <si>
    <t>24E</t>
  </si>
  <si>
    <t>期限</t>
    <rPh sb="0" eb="1">
      <t>qi'xian</t>
    </rPh>
    <phoneticPr fontId="28" type="noConversion"/>
  </si>
  <si>
    <t>审批金额</t>
    <rPh sb="0" eb="1">
      <t>shen'p</t>
    </rPh>
    <rPh sb="2" eb="3">
      <t>jin'e</t>
    </rPh>
    <phoneticPr fontId="28" type="noConversion"/>
  </si>
  <si>
    <t>咨询服务费</t>
    <phoneticPr fontId="28" type="noConversion"/>
  </si>
  <si>
    <t>信用管理费</t>
    <phoneticPr fontId="28" type="noConversion"/>
  </si>
  <si>
    <t>保险费/担保费</t>
    <rPh sb="0" eb="1">
      <t>bao'xian</t>
    </rPh>
    <rPh sb="2" eb="3">
      <t>fei</t>
    </rPh>
    <rPh sb="4" eb="5">
      <t>dan'bao</t>
    </rPh>
    <rPh sb="6" eb="7">
      <t>fei</t>
    </rPh>
    <phoneticPr fontId="28" type="noConversion"/>
  </si>
  <si>
    <t>费用合同金额</t>
    <rPh sb="0" eb="1">
      <t>fei'yong</t>
    </rPh>
    <rPh sb="2" eb="3">
      <t>he'ton</t>
    </rPh>
    <rPh sb="4" eb="5">
      <t>jin'e</t>
    </rPh>
    <phoneticPr fontId="28" type="noConversion"/>
  </si>
  <si>
    <t>合同金额总</t>
    <rPh sb="0" eb="1">
      <t>he't</t>
    </rPh>
    <rPh sb="2" eb="3">
      <t>jin'e</t>
    </rPh>
    <rPh sb="4" eb="5">
      <t>zong</t>
    </rPh>
    <phoneticPr fontId="28" type="noConversion"/>
  </si>
  <si>
    <t>综合资金成本（年化）
额度支付</t>
    <rPh sb="0" eb="1">
      <t>zong'he</t>
    </rPh>
    <rPh sb="2" eb="3">
      <t>zi'jin'cheng'ben</t>
    </rPh>
    <phoneticPr fontId="28" type="noConversion"/>
  </si>
  <si>
    <t>综合资金成本（年化）
自主支付</t>
    <rPh sb="0" eb="1">
      <t>zong'he</t>
    </rPh>
    <rPh sb="2" eb="3">
      <t>zi'jin'cheng'ben</t>
    </rPh>
    <rPh sb="11" eb="12">
      <t>zi'zhu'zhi'fu</t>
    </rPh>
    <phoneticPr fontId="28" type="noConversion"/>
  </si>
  <si>
    <t>保险费率/保险费率</t>
  </si>
  <si>
    <t>6AA</t>
    <phoneticPr fontId="28" type="noConversion"/>
  </si>
  <si>
    <t>6A</t>
    <phoneticPr fontId="28" type="noConversion"/>
  </si>
  <si>
    <t>6BB</t>
    <phoneticPr fontId="28" type="noConversion"/>
  </si>
  <si>
    <t>6B</t>
    <phoneticPr fontId="28" type="noConversion"/>
  </si>
  <si>
    <t>6C</t>
    <phoneticPr fontId="28" type="noConversion"/>
  </si>
  <si>
    <t>6D</t>
    <phoneticPr fontId="28" type="noConversion"/>
  </si>
  <si>
    <t>6E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</si>
</sst>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0.00_);[Red]\(0.00\)"/>
    <numFmt numFmtId="177" formatCode="_ * #,##0_ ;_ * \-#,##0_ ;_ * &quot;-&quot;??_ ;_ @_ "/>
    <numFmt numFmtId="178" formatCode="0.000%"/>
    <numFmt numFmtId="179" formatCode="\¥#,##0.00;\¥\-#,##0.00"/>
    <numFmt numFmtId="180" formatCode="\¥#,##0.00_);[Red]\(\¥#,##0.00\)"/>
    <numFmt numFmtId="181" formatCode="\¥#,##0.000_);[Red]\(\¥#,##0.000\)"/>
    <numFmt numFmtId="182" formatCode="0.00_ "/>
    <numFmt numFmtId="183" formatCode="\¥#,##0.00;[Red]\¥\-#,##0.00"/>
    <numFmt numFmtId="184" formatCode="0.0000%"/>
    <numFmt numFmtId="185" formatCode="yyyy&quot;年&quot;m&quot;月&quot;d&quot;日&quot;;@"/>
    <numFmt numFmtId="186" formatCode="0.00000_ "/>
    <numFmt numFmtId="187" formatCode="_ * #,##0.00000000_ ;_ * \-#,##0.00000000_ ;_ * &quot;-&quot;??_ ;_ @_ "/>
  </numFmts>
  <fonts count="36">
    <font>
      <sz val="11"/>
      <color theme="1"/>
      <name val="DengXian"/>
      <charset val="134"/>
      <scheme val="minor"/>
    </font>
    <font>
      <b/>
      <sz val="11"/>
      <color theme="0"/>
      <name val="华文楷体"/>
      <family val="3"/>
      <charset val="134"/>
    </font>
    <font>
      <sz val="11"/>
      <color rgb="FF000000"/>
      <name val="华文楷体"/>
      <family val="3"/>
      <charset val="134"/>
    </font>
    <font>
      <sz val="12"/>
      <name val="华文楷体"/>
      <family val="3"/>
      <charset val="134"/>
    </font>
    <font>
      <sz val="11"/>
      <name val="华文楷体"/>
      <family val="3"/>
      <charset val="134"/>
    </font>
    <font>
      <b/>
      <sz val="12"/>
      <color theme="0"/>
      <name val="华文楷体"/>
      <family val="3"/>
      <charset val="134"/>
    </font>
    <font>
      <sz val="12"/>
      <color rgb="FF000000"/>
      <name val="华文楷体"/>
      <family val="3"/>
      <charset val="134"/>
    </font>
    <font>
      <b/>
      <sz val="12"/>
      <color theme="1"/>
      <name val="华文中宋"/>
      <family val="3"/>
      <charset val="134"/>
    </font>
    <font>
      <sz val="11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2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0"/>
      <color indexed="9"/>
      <name val="微软雅黑"/>
      <family val="3"/>
      <charset val="134"/>
    </font>
    <font>
      <sz val="10"/>
      <color indexed="8"/>
      <name val="微软雅黑"/>
      <family val="3"/>
      <charset val="134"/>
    </font>
    <font>
      <b/>
      <sz val="10"/>
      <color theme="0"/>
      <name val="微软雅黑"/>
      <family val="3"/>
      <charset val="134"/>
    </font>
    <font>
      <sz val="10"/>
      <color theme="0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b/>
      <sz val="10"/>
      <color indexed="8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rgb="FFFF0000"/>
      <name val="微软雅黑"/>
      <family val="3"/>
      <charset val="134"/>
    </font>
    <font>
      <sz val="10"/>
      <color rgb="FF000000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0"/>
      <name val="微软雅黑"/>
      <family val="3"/>
      <charset val="134"/>
    </font>
    <font>
      <b/>
      <sz val="10"/>
      <color rgb="FF7030A0"/>
      <name val="微软雅黑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Arial"/>
      <family val="2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rgb="FF000000"/>
      <name val="DengXian"/>
      <family val="3"/>
      <charset val="134"/>
      <scheme val="minor"/>
    </font>
    <font>
      <b/>
      <sz val="11"/>
      <color rgb="FF000000"/>
      <name val="Abadi MT Condensed Extra Bold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50"/>
      </left>
      <right/>
      <top style="medium">
        <color rgb="FF00B050"/>
      </top>
      <bottom style="thin">
        <color auto="1"/>
      </bottom>
      <diagonal/>
    </border>
    <border>
      <left/>
      <right/>
      <top style="medium">
        <color rgb="FF00B050"/>
      </top>
      <bottom style="thin">
        <color auto="1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0"/>
    <xf numFmtId="0" fontId="25" fillId="0" borderId="0"/>
    <xf numFmtId="0" fontId="27" fillId="0" borderId="0"/>
    <xf numFmtId="0" fontId="26" fillId="0" borderId="0"/>
  </cellStyleXfs>
  <cellXfs count="164">
    <xf numFmtId="0" fontId="0" fillId="0" borderId="0" xfId="0">
      <alignment vertical="center"/>
    </xf>
    <xf numFmtId="177" fontId="2" fillId="0" borderId="3" xfId="1" applyNumberFormat="1" applyFont="1" applyBorder="1" applyAlignment="1">
      <alignment vertical="center"/>
    </xf>
    <xf numFmtId="0" fontId="2" fillId="3" borderId="4" xfId="5" applyFont="1" applyFill="1" applyBorder="1" applyAlignment="1">
      <alignment horizontal="center" vertical="center"/>
    </xf>
    <xf numFmtId="0" fontId="2" fillId="3" borderId="5" xfId="5" applyFont="1" applyFill="1" applyBorder="1" applyAlignment="1">
      <alignment horizontal="center" vertical="center"/>
    </xf>
    <xf numFmtId="10" fontId="8" fillId="0" borderId="4" xfId="2" applyNumberFormat="1" applyFont="1" applyFill="1" applyBorder="1">
      <alignment vertical="center"/>
    </xf>
    <xf numFmtId="10" fontId="9" fillId="0" borderId="4" xfId="2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7" fillId="0" borderId="0" xfId="0" applyFont="1" applyFill="1" applyBorder="1" applyAlignment="1">
      <alignment horizontal="center" vertical="center"/>
    </xf>
    <xf numFmtId="10" fontId="9" fillId="0" borderId="0" xfId="2" applyNumberFormat="1" applyFont="1" applyFill="1" applyBorder="1" applyAlignment="1">
      <alignment horizontal="center" vertical="center"/>
    </xf>
    <xf numFmtId="0" fontId="6" fillId="6" borderId="4" xfId="5" applyFont="1" applyFill="1" applyBorder="1" applyAlignment="1">
      <alignment horizontal="center" vertical="center"/>
    </xf>
    <xf numFmtId="0" fontId="6" fillId="6" borderId="5" xfId="5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vertical="center"/>
      <protection hidden="1"/>
    </xf>
    <xf numFmtId="0" fontId="14" fillId="16" borderId="6" xfId="0" applyFont="1" applyFill="1" applyBorder="1" applyAlignment="1" applyProtection="1">
      <alignment vertical="center"/>
      <protection hidden="1"/>
    </xf>
    <xf numFmtId="0" fontId="15" fillId="16" borderId="6" xfId="0" applyFont="1" applyFill="1" applyBorder="1" applyAlignment="1" applyProtection="1">
      <alignment vertical="center"/>
      <protection hidden="1"/>
    </xf>
    <xf numFmtId="0" fontId="13" fillId="0" borderId="4" xfId="0" applyFont="1" applyFill="1" applyBorder="1" applyAlignment="1" applyProtection="1">
      <alignment vertical="center"/>
      <protection hidden="1"/>
    </xf>
    <xf numFmtId="0" fontId="13" fillId="0" borderId="4" xfId="0" applyFont="1" applyFill="1" applyBorder="1" applyAlignment="1" applyProtection="1">
      <alignment horizontal="center" vertical="center"/>
      <protection hidden="1"/>
    </xf>
    <xf numFmtId="0" fontId="16" fillId="12" borderId="7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3" fillId="17" borderId="4" xfId="0" applyFont="1" applyFill="1" applyBorder="1" applyAlignment="1" applyProtection="1">
      <alignment vertical="center"/>
      <protection hidden="1"/>
    </xf>
    <xf numFmtId="180" fontId="17" fillId="17" borderId="4" xfId="1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vertical="center"/>
      <protection hidden="1"/>
    </xf>
    <xf numFmtId="0" fontId="20" fillId="4" borderId="4" xfId="0" applyFont="1" applyFill="1" applyBorder="1" applyAlignment="1">
      <alignment vertical="center"/>
    </xf>
    <xf numFmtId="0" fontId="21" fillId="0" borderId="4" xfId="0" applyFont="1" applyBorder="1" applyAlignment="1">
      <alignment horizontal="right" vertical="center"/>
    </xf>
    <xf numFmtId="182" fontId="21" fillId="0" borderId="4" xfId="0" applyNumberFormat="1" applyFont="1" applyBorder="1" applyAlignment="1">
      <alignment vertical="center"/>
    </xf>
    <xf numFmtId="0" fontId="22" fillId="7" borderId="4" xfId="0" applyFont="1" applyFill="1" applyBorder="1" applyAlignment="1" applyProtection="1">
      <alignment horizontal="center" vertical="center"/>
      <protection hidden="1"/>
    </xf>
    <xf numFmtId="0" fontId="18" fillId="0" borderId="14" xfId="0" applyFont="1" applyFill="1" applyBorder="1" applyAlignment="1" applyProtection="1">
      <alignment vertical="center" wrapText="1"/>
      <protection hidden="1"/>
    </xf>
    <xf numFmtId="0" fontId="20" fillId="0" borderId="4" xfId="0" applyFont="1" applyBorder="1" applyAlignment="1">
      <alignment vertical="center"/>
    </xf>
    <xf numFmtId="180" fontId="21" fillId="0" borderId="4" xfId="0" applyNumberFormat="1" applyFont="1" applyBorder="1" applyAlignment="1">
      <alignment vertical="center"/>
    </xf>
    <xf numFmtId="10" fontId="13" fillId="7" borderId="4" xfId="0" applyNumberFormat="1" applyFont="1" applyFill="1" applyBorder="1" applyAlignment="1" applyProtection="1">
      <alignment horizontal="center" vertical="center"/>
      <protection hidden="1"/>
    </xf>
    <xf numFmtId="10" fontId="13" fillId="0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14" fillId="16" borderId="6" xfId="0" applyFont="1" applyFill="1" applyBorder="1" applyAlignment="1" applyProtection="1">
      <alignment horizontal="left" vertical="center"/>
      <protection hidden="1"/>
    </xf>
    <xf numFmtId="0" fontId="21" fillId="0" borderId="0" xfId="0" applyFont="1" applyAlignment="1">
      <alignment vertical="center"/>
    </xf>
    <xf numFmtId="10" fontId="18" fillId="7" borderId="4" xfId="2" applyNumberFormat="1" applyFont="1" applyFill="1" applyBorder="1" applyAlignment="1" applyProtection="1">
      <alignment horizontal="center" vertical="center"/>
      <protection hidden="1"/>
    </xf>
    <xf numFmtId="0" fontId="20" fillId="19" borderId="7" xfId="0" applyFont="1" applyFill="1" applyBorder="1" applyAlignment="1">
      <alignment vertical="center"/>
    </xf>
    <xf numFmtId="183" fontId="21" fillId="0" borderId="4" xfId="0" applyNumberFormat="1" applyFont="1" applyBorder="1" applyAlignment="1">
      <alignment horizontal="right" vertical="center"/>
    </xf>
    <xf numFmtId="10" fontId="21" fillId="0" borderId="0" xfId="0" applyNumberFormat="1" applyFont="1" applyFill="1" applyBorder="1" applyAlignment="1" applyProtection="1">
      <alignment horizontal="center" vertical="center"/>
      <protection hidden="1"/>
    </xf>
    <xf numFmtId="10" fontId="18" fillId="5" borderId="4" xfId="2" applyNumberFormat="1" applyFont="1" applyFill="1" applyBorder="1" applyAlignment="1" applyProtection="1">
      <alignment horizontal="center" vertical="center"/>
      <protection hidden="1"/>
    </xf>
    <xf numFmtId="10" fontId="21" fillId="0" borderId="0" xfId="0" applyNumberFormat="1" applyFont="1" applyFill="1" applyBorder="1" applyAlignment="1" applyProtection="1">
      <alignment horizontal="right" vertical="center"/>
      <protection hidden="1"/>
    </xf>
    <xf numFmtId="0" fontId="9" fillId="4" borderId="4" xfId="0" applyFont="1" applyFill="1" applyBorder="1" applyAlignment="1" applyProtection="1">
      <alignment vertical="center"/>
      <protection hidden="1"/>
    </xf>
    <xf numFmtId="0" fontId="13" fillId="20" borderId="4" xfId="0" applyFont="1" applyFill="1" applyBorder="1" applyAlignment="1" applyProtection="1">
      <alignment vertical="center"/>
      <protection hidden="1"/>
    </xf>
    <xf numFmtId="31" fontId="13" fillId="0" borderId="4" xfId="0" applyNumberFormat="1" applyFont="1" applyFill="1" applyBorder="1" applyAlignment="1" applyProtection="1">
      <alignment horizontal="center" vertical="center"/>
      <protection hidden="1"/>
    </xf>
    <xf numFmtId="0" fontId="13" fillId="19" borderId="4" xfId="0" applyFont="1" applyFill="1" applyBorder="1" applyAlignment="1" applyProtection="1">
      <alignment vertical="center"/>
      <protection hidden="1"/>
    </xf>
    <xf numFmtId="184" fontId="17" fillId="12" borderId="4" xfId="0" applyNumberFormat="1" applyFont="1" applyFill="1" applyBorder="1" applyAlignment="1" applyProtection="1">
      <alignment horizontal="center" vertical="center"/>
      <protection hidden="1"/>
    </xf>
    <xf numFmtId="180" fontId="21" fillId="0" borderId="0" xfId="0" applyNumberFormat="1" applyFont="1" applyAlignment="1">
      <alignment horizontal="right" vertical="center"/>
    </xf>
    <xf numFmtId="0" fontId="12" fillId="15" borderId="6" xfId="0" applyFont="1" applyFill="1" applyBorder="1" applyAlignment="1" applyProtection="1">
      <alignment horizontal="left" vertical="center"/>
      <protection hidden="1"/>
    </xf>
    <xf numFmtId="0" fontId="12" fillId="15" borderId="7" xfId="0" applyFont="1" applyFill="1" applyBorder="1" applyAlignment="1" applyProtection="1">
      <alignment horizontal="left" vertical="center"/>
      <protection hidden="1"/>
    </xf>
    <xf numFmtId="0" fontId="21" fillId="18" borderId="4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10" fontId="16" fillId="0" borderId="0" xfId="2" applyNumberFormat="1" applyFont="1" applyAlignment="1">
      <alignment vertical="center"/>
    </xf>
    <xf numFmtId="0" fontId="13" fillId="21" borderId="4" xfId="0" applyFont="1" applyFill="1" applyBorder="1" applyAlignment="1" applyProtection="1">
      <alignment vertical="center"/>
      <protection hidden="1"/>
    </xf>
    <xf numFmtId="180" fontId="16" fillId="0" borderId="4" xfId="1" applyNumberFormat="1" applyFont="1" applyFill="1" applyBorder="1" applyAlignment="1" applyProtection="1">
      <alignment horizontal="center" vertical="center"/>
      <protection hidden="1"/>
    </xf>
    <xf numFmtId="180" fontId="21" fillId="0" borderId="4" xfId="1" applyNumberFormat="1" applyFont="1" applyFill="1" applyBorder="1" applyAlignment="1" applyProtection="1">
      <alignment horizontal="center" vertical="center"/>
      <protection hidden="1"/>
    </xf>
    <xf numFmtId="0" fontId="20" fillId="19" borderId="4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182" fontId="16" fillId="0" borderId="4" xfId="1" applyNumberFormat="1" applyFont="1" applyFill="1" applyBorder="1" applyAlignment="1" applyProtection="1">
      <alignment horizontal="center" vertical="center"/>
      <protection hidden="1"/>
    </xf>
    <xf numFmtId="182" fontId="21" fillId="0" borderId="0" xfId="0" applyNumberFormat="1" applyFont="1" applyFill="1" applyBorder="1" applyAlignment="1">
      <alignment vertical="center"/>
    </xf>
    <xf numFmtId="0" fontId="13" fillId="0" borderId="0" xfId="0" applyFont="1" applyFill="1" applyAlignment="1" applyProtection="1">
      <alignment vertical="center"/>
      <protection hidden="1"/>
    </xf>
    <xf numFmtId="180" fontId="21" fillId="0" borderId="0" xfId="0" applyNumberFormat="1" applyFont="1" applyAlignment="1">
      <alignment horizontal="left" vertical="center"/>
    </xf>
    <xf numFmtId="0" fontId="13" fillId="7" borderId="4" xfId="0" applyFont="1" applyFill="1" applyBorder="1" applyAlignment="1" applyProtection="1">
      <alignment vertical="center"/>
      <protection hidden="1"/>
    </xf>
    <xf numFmtId="0" fontId="21" fillId="0" borderId="0" xfId="0" applyFont="1" applyBorder="1" applyAlignment="1">
      <alignment vertical="center"/>
    </xf>
    <xf numFmtId="180" fontId="13" fillId="7" borderId="4" xfId="0" applyNumberFormat="1" applyFont="1" applyFill="1" applyBorder="1" applyAlignment="1" applyProtection="1">
      <alignment horizontal="center" vertical="center"/>
      <protection hidden="1"/>
    </xf>
    <xf numFmtId="0" fontId="21" fillId="0" borderId="0" xfId="0" applyFont="1" applyFill="1" applyAlignment="1">
      <alignment vertical="center"/>
    </xf>
    <xf numFmtId="0" fontId="21" fillId="0" borderId="4" xfId="0" applyFont="1" applyBorder="1" applyAlignment="1">
      <alignment vertical="center"/>
    </xf>
    <xf numFmtId="180" fontId="21" fillId="0" borderId="0" xfId="0" applyNumberFormat="1" applyFont="1" applyAlignment="1">
      <alignment vertical="center"/>
    </xf>
    <xf numFmtId="0" fontId="0" fillId="0" borderId="4" xfId="0" applyBorder="1">
      <alignment vertical="center"/>
    </xf>
    <xf numFmtId="0" fontId="13" fillId="0" borderId="0" xfId="0" applyFont="1" applyFill="1" applyAlignment="1" applyProtection="1">
      <alignment horizontal="right" vertical="center"/>
      <protection hidden="1"/>
    </xf>
    <xf numFmtId="0" fontId="13" fillId="0" borderId="0" xfId="0" applyFont="1" applyFill="1" applyAlignment="1" applyProtection="1">
      <alignment horizontal="center" vertical="center"/>
      <protection hidden="1"/>
    </xf>
    <xf numFmtId="0" fontId="12" fillId="15" borderId="0" xfId="0" applyFont="1" applyFill="1" applyAlignment="1" applyProtection="1">
      <alignment vertical="center"/>
      <protection hidden="1"/>
    </xf>
    <xf numFmtId="0" fontId="17" fillId="22" borderId="4" xfId="0" applyFont="1" applyFill="1" applyBorder="1" applyAlignment="1" applyProtection="1">
      <alignment horizontal="center" vertical="center"/>
      <protection hidden="1"/>
    </xf>
    <xf numFmtId="0" fontId="17" fillId="0" borderId="4" xfId="0" applyFont="1" applyFill="1" applyBorder="1" applyAlignment="1" applyProtection="1">
      <alignment horizontal="center" vertical="center"/>
      <protection hidden="1"/>
    </xf>
    <xf numFmtId="185" fontId="13" fillId="0" borderId="4" xfId="0" applyNumberFormat="1" applyFont="1" applyFill="1" applyBorder="1" applyAlignment="1" applyProtection="1">
      <alignment horizontal="center" vertical="center"/>
      <protection hidden="1"/>
    </xf>
    <xf numFmtId="180" fontId="13" fillId="0" borderId="4" xfId="1" applyNumberFormat="1" applyFont="1" applyFill="1" applyBorder="1" applyAlignment="1" applyProtection="1">
      <alignment horizontal="right" vertical="center"/>
      <protection hidden="1"/>
    </xf>
    <xf numFmtId="180" fontId="13" fillId="20" borderId="4" xfId="1" applyNumberFormat="1" applyFont="1" applyFill="1" applyBorder="1" applyAlignment="1" applyProtection="1">
      <alignment vertical="center"/>
      <protection hidden="1"/>
    </xf>
    <xf numFmtId="180" fontId="13" fillId="20" borderId="4" xfId="1" applyNumberFormat="1" applyFont="1" applyFill="1" applyBorder="1" applyAlignment="1" applyProtection="1">
      <alignment horizontal="right" vertical="center"/>
      <protection hidden="1"/>
    </xf>
    <xf numFmtId="180" fontId="13" fillId="23" borderId="4" xfId="1" applyNumberFormat="1" applyFont="1" applyFill="1" applyBorder="1" applyAlignment="1" applyProtection="1">
      <alignment horizontal="right" vertical="center"/>
      <protection hidden="1"/>
    </xf>
    <xf numFmtId="40" fontId="21" fillId="0" borderId="0" xfId="0" applyNumberFormat="1" applyFont="1" applyAlignment="1">
      <alignment vertical="center"/>
    </xf>
    <xf numFmtId="186" fontId="0" fillId="0" borderId="0" xfId="0" applyNumberFormat="1">
      <alignment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10" fontId="0" fillId="0" borderId="0" xfId="2" applyNumberFormat="1" applyFont="1">
      <alignment vertical="center"/>
    </xf>
    <xf numFmtId="0" fontId="13" fillId="24" borderId="4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180" fontId="17" fillId="7" borderId="4" xfId="1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vertical="center"/>
      <protection hidden="1"/>
    </xf>
    <xf numFmtId="10" fontId="0" fillId="0" borderId="0" xfId="0" applyNumberFormat="1" applyAlignment="1">
      <alignment vertical="center"/>
    </xf>
    <xf numFmtId="10" fontId="23" fillId="0" borderId="0" xfId="0" applyNumberFormat="1" applyFont="1" applyFill="1" applyBorder="1" applyAlignment="1" applyProtection="1">
      <alignment vertical="center"/>
      <protection hidden="1"/>
    </xf>
    <xf numFmtId="10" fontId="13" fillId="0" borderId="0" xfId="0" applyNumberFormat="1" applyFont="1" applyFill="1" applyBorder="1" applyAlignment="1" applyProtection="1">
      <alignment horizontal="right" vertical="center"/>
      <protection hidden="1"/>
    </xf>
    <xf numFmtId="176" fontId="13" fillId="7" borderId="4" xfId="0" applyNumberFormat="1" applyFont="1" applyFill="1" applyBorder="1" applyAlignment="1" applyProtection="1">
      <alignment horizontal="center" vertical="center"/>
      <protection hidden="1"/>
    </xf>
    <xf numFmtId="178" fontId="0" fillId="0" borderId="0" xfId="0" applyNumberFormat="1" applyAlignment="1">
      <alignment vertical="center"/>
    </xf>
    <xf numFmtId="10" fontId="4" fillId="0" borderId="4" xfId="2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183" fontId="21" fillId="0" borderId="0" xfId="0" applyNumberFormat="1" applyFont="1" applyBorder="1" applyAlignment="1">
      <alignment horizontal="right" vertical="center"/>
    </xf>
    <xf numFmtId="179" fontId="21" fillId="0" borderId="0" xfId="0" applyNumberFormat="1" applyFont="1" applyAlignment="1">
      <alignment vertical="center"/>
    </xf>
    <xf numFmtId="181" fontId="21" fillId="0" borderId="0" xfId="0" applyNumberFormat="1" applyFont="1" applyAlignment="1">
      <alignment vertical="center"/>
    </xf>
    <xf numFmtId="180" fontId="21" fillId="0" borderId="0" xfId="0" applyNumberFormat="1" applyFont="1" applyBorder="1" applyAlignment="1">
      <alignment vertical="center"/>
    </xf>
    <xf numFmtId="10" fontId="3" fillId="5" borderId="4" xfId="5" applyNumberFormat="1" applyFont="1" applyFill="1" applyBorder="1" applyAlignment="1">
      <alignment horizontal="center" vertical="center"/>
    </xf>
    <xf numFmtId="0" fontId="26" fillId="0" borderId="0" xfId="7"/>
    <xf numFmtId="0" fontId="12" fillId="15" borderId="6" xfId="0" applyFont="1" applyFill="1" applyBorder="1" applyAlignment="1" applyProtection="1">
      <alignment horizontal="left" vertical="center"/>
      <protection hidden="1"/>
    </xf>
    <xf numFmtId="0" fontId="12" fillId="15" borderId="7" xfId="0" applyFont="1" applyFill="1" applyBorder="1" applyAlignment="1" applyProtection="1">
      <alignment horizontal="left" vertical="center"/>
      <protection hidden="1"/>
    </xf>
    <xf numFmtId="14" fontId="30" fillId="0" borderId="0" xfId="0" applyNumberFormat="1" applyFont="1" applyAlignment="1">
      <alignment horizontal="left" vertical="center"/>
    </xf>
    <xf numFmtId="0" fontId="21" fillId="4" borderId="4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 wrapText="1"/>
    </xf>
    <xf numFmtId="0" fontId="21" fillId="6" borderId="4" xfId="0" applyFont="1" applyFill="1" applyBorder="1" applyAlignment="1">
      <alignment vertical="center"/>
    </xf>
    <xf numFmtId="183" fontId="21" fillId="0" borderId="4" xfId="0" applyNumberFormat="1" applyFont="1" applyFill="1" applyBorder="1" applyAlignment="1">
      <alignment horizontal="right" vertical="center"/>
    </xf>
    <xf numFmtId="0" fontId="20" fillId="6" borderId="4" xfId="0" applyFont="1" applyFill="1" applyBorder="1" applyAlignment="1">
      <alignment vertical="center" wrapText="1"/>
    </xf>
    <xf numFmtId="183" fontId="21" fillId="0" borderId="4" xfId="0" applyNumberFormat="1" applyFont="1" applyFill="1" applyBorder="1" applyAlignment="1">
      <alignment vertical="center"/>
    </xf>
    <xf numFmtId="180" fontId="21" fillId="0" borderId="4" xfId="0" applyNumberFormat="1" applyFont="1" applyFill="1" applyBorder="1" applyAlignment="1">
      <alignment vertical="center"/>
    </xf>
    <xf numFmtId="0" fontId="20" fillId="0" borderId="4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horizontal="left" vertical="center" wrapText="1"/>
    </xf>
    <xf numFmtId="40" fontId="21" fillId="0" borderId="4" xfId="0" applyNumberFormat="1" applyFont="1" applyFill="1" applyBorder="1" applyAlignment="1">
      <alignment vertical="center"/>
    </xf>
    <xf numFmtId="9" fontId="21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Fill="1" applyBorder="1" applyAlignment="1"/>
    <xf numFmtId="0" fontId="0" fillId="0" borderId="0" xfId="0" applyAlignment="1"/>
    <xf numFmtId="0" fontId="3" fillId="0" borderId="10" xfId="0" applyFont="1" applyBorder="1" applyAlignment="1"/>
    <xf numFmtId="0" fontId="10" fillId="12" borderId="7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13" borderId="11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2" fillId="4" borderId="3" xfId="5" applyFont="1" applyFill="1" applyBorder="1" applyAlignment="1">
      <alignment horizontal="center" vertical="center"/>
    </xf>
    <xf numFmtId="0" fontId="2" fillId="6" borderId="3" xfId="5" applyFont="1" applyFill="1" applyBorder="1" applyAlignment="1">
      <alignment horizontal="center" vertical="center"/>
    </xf>
    <xf numFmtId="0" fontId="2" fillId="7" borderId="3" xfId="5" applyFont="1" applyFill="1" applyBorder="1" applyAlignment="1">
      <alignment horizontal="center" vertical="center"/>
    </xf>
    <xf numFmtId="0" fontId="2" fillId="8" borderId="3" xfId="5" applyFont="1" applyFill="1" applyBorder="1" applyAlignment="1">
      <alignment horizontal="center" vertical="center"/>
    </xf>
    <xf numFmtId="0" fontId="2" fillId="9" borderId="3" xfId="5" applyFont="1" applyFill="1" applyBorder="1" applyAlignment="1">
      <alignment horizontal="center" vertical="center"/>
    </xf>
    <xf numFmtId="0" fontId="2" fillId="10" borderId="3" xfId="5" applyFont="1" applyFill="1" applyBorder="1" applyAlignment="1">
      <alignment horizontal="center" vertical="center"/>
    </xf>
    <xf numFmtId="0" fontId="4" fillId="11" borderId="3" xfId="5" applyFon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10" fontId="35" fillId="0" borderId="0" xfId="0" applyNumberFormat="1" applyFont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31" fillId="0" borderId="19" xfId="0" applyFont="1" applyBorder="1" applyAlignment="1">
      <alignment horizontal="center" wrapText="1"/>
    </xf>
    <xf numFmtId="0" fontId="31" fillId="0" borderId="20" xfId="0" applyFont="1" applyBorder="1" applyAlignment="1">
      <alignment horizontal="center" wrapText="1"/>
    </xf>
    <xf numFmtId="0" fontId="31" fillId="0" borderId="21" xfId="0" applyFont="1" applyBorder="1" applyAlignment="1">
      <alignment horizontal="center" wrapText="1"/>
    </xf>
    <xf numFmtId="10" fontId="0" fillId="0" borderId="22" xfId="0" applyNumberFormat="1" applyBorder="1" applyAlignment="1">
      <alignment horizontal="center" vertical="center"/>
    </xf>
    <xf numFmtId="0" fontId="26" fillId="0" borderId="0" xfId="7" applyNumberFormat="1"/>
    <xf numFmtId="187" fontId="26" fillId="0" borderId="0" xfId="1" applyNumberFormat="1" applyAlignment="1"/>
    <xf numFmtId="0" fontId="32" fillId="0" borderId="4" xfId="0" applyNumberFormat="1" applyFont="1" applyFill="1" applyBorder="1" applyAlignment="1">
      <alignment horizontal="center" vertical="center" wrapText="1"/>
    </xf>
    <xf numFmtId="187" fontId="32" fillId="0" borderId="4" xfId="1" applyNumberFormat="1" applyFont="1" applyFill="1" applyBorder="1" applyAlignment="1">
      <alignment horizontal="center" vertical="center" wrapText="1"/>
    </xf>
    <xf numFmtId="0" fontId="24" fillId="0" borderId="4" xfId="0" applyNumberFormat="1" applyFont="1" applyBorder="1">
      <alignment vertical="center"/>
    </xf>
    <xf numFmtId="187" fontId="24" fillId="0" borderId="4" xfId="1" applyNumberFormat="1" applyFont="1" applyBorder="1">
      <alignment vertical="center"/>
    </xf>
    <xf numFmtId="10" fontId="0" fillId="0" borderId="0" xfId="0" applyNumberFormat="1" applyAlignment="1"/>
    <xf numFmtId="0" fontId="0" fillId="0" borderId="0" xfId="0" applyFill="1" applyBorder="1">
      <alignment vertical="center"/>
    </xf>
    <xf numFmtId="0" fontId="12" fillId="15" borderId="12" xfId="0" applyFont="1" applyFill="1" applyBorder="1" applyAlignment="1" applyProtection="1">
      <alignment horizontal="left" vertical="center"/>
      <protection hidden="1"/>
    </xf>
    <xf numFmtId="0" fontId="12" fillId="15" borderId="13" xfId="0" applyFont="1" applyFill="1" applyBorder="1" applyAlignment="1" applyProtection="1">
      <alignment horizontal="left" vertical="center"/>
      <protection hidden="1"/>
    </xf>
    <xf numFmtId="0" fontId="12" fillId="15" borderId="6" xfId="0" applyFont="1" applyFill="1" applyBorder="1" applyAlignment="1" applyProtection="1">
      <alignment horizontal="left" vertical="center"/>
      <protection hidden="1"/>
    </xf>
    <xf numFmtId="0" fontId="12" fillId="15" borderId="7" xfId="0" applyFont="1" applyFill="1" applyBorder="1" applyAlignment="1" applyProtection="1">
      <alignment horizontal="left" vertical="center"/>
      <protection hidden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</cellXfs>
  <cellStyles count="8">
    <cellStyle name="百分比" xfId="2" builtinId="5"/>
    <cellStyle name="常规" xfId="0" builtinId="0"/>
    <cellStyle name="常规 2" xfId="6"/>
    <cellStyle name="常规 2 2" xfId="3"/>
    <cellStyle name="常规 3" xfId="4"/>
    <cellStyle name="常规 4" xfId="5"/>
    <cellStyle name="常规 5" xfId="7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85" zoomScaleNormal="85" zoomScalePageLayoutView="85" workbookViewId="0">
      <selection activeCell="C8" sqref="C8"/>
    </sheetView>
  </sheetViews>
  <sheetFormatPr defaultColWidth="9" defaultRowHeight="13.8"/>
  <cols>
    <col min="1" max="1" width="24" customWidth="1"/>
    <col min="2" max="2" width="13.6640625" customWidth="1"/>
    <col min="3" max="3" width="29.109375" customWidth="1"/>
    <col min="4" max="4" width="25.6640625" customWidth="1"/>
    <col min="5" max="5" width="18.44140625" customWidth="1"/>
    <col min="6" max="6" width="54" bestFit="1" customWidth="1"/>
    <col min="7" max="7" width="14.109375" customWidth="1"/>
    <col min="8" max="8" width="18.33203125" customWidth="1"/>
    <col min="9" max="9" width="18.109375" bestFit="1" customWidth="1"/>
    <col min="10" max="10" width="20" customWidth="1"/>
    <col min="11" max="11" width="52.44140625" bestFit="1" customWidth="1"/>
    <col min="12" max="12" width="31.6640625" bestFit="1" customWidth="1"/>
  </cols>
  <sheetData>
    <row r="1" spans="1:7" ht="15.6">
      <c r="A1" s="151" t="s">
        <v>0</v>
      </c>
      <c r="B1" s="152"/>
      <c r="C1" s="11"/>
    </row>
    <row r="2" spans="1:7" ht="15">
      <c r="A2" s="14" t="s">
        <v>2</v>
      </c>
      <c r="B2" s="15" t="s">
        <v>3</v>
      </c>
      <c r="C2" s="11"/>
      <c r="D2" s="80" t="s">
        <v>35</v>
      </c>
      <c r="E2" s="32"/>
      <c r="F2" s="32"/>
      <c r="G2" s="32"/>
    </row>
    <row r="3" spans="1:7" ht="15.6">
      <c r="A3" s="18" t="s">
        <v>8</v>
      </c>
      <c r="B3" s="19">
        <v>10000</v>
      </c>
      <c r="C3" s="20" t="s">
        <v>9</v>
      </c>
      <c r="D3" s="17" t="s">
        <v>4</v>
      </c>
      <c r="E3" s="17" t="s">
        <v>5</v>
      </c>
      <c r="F3" s="17" t="s">
        <v>38</v>
      </c>
      <c r="G3" s="17" t="s">
        <v>7</v>
      </c>
    </row>
    <row r="4" spans="1:7" ht="16.5" customHeight="1">
      <c r="A4" s="14" t="s">
        <v>11</v>
      </c>
      <c r="B4" s="24">
        <v>12</v>
      </c>
      <c r="C4" s="25" t="s">
        <v>9</v>
      </c>
      <c r="D4" s="49" t="s">
        <v>40</v>
      </c>
      <c r="E4" s="106" t="s">
        <v>134</v>
      </c>
      <c r="F4" s="49" t="s">
        <v>140</v>
      </c>
      <c r="G4" s="107">
        <f>ROUND(($B$18-G9)*23.5%,2)</f>
        <v>89.37</v>
      </c>
    </row>
    <row r="5" spans="1:7" ht="15.6">
      <c r="A5" s="14" t="s">
        <v>14</v>
      </c>
      <c r="B5" s="28">
        <f>VLOOKUP(B4&amp;B14,合同年利率!J:K,2,0)</f>
        <v>0.10250000000000001</v>
      </c>
      <c r="C5" s="25" t="s">
        <v>9</v>
      </c>
      <c r="D5" s="49" t="s">
        <v>132</v>
      </c>
      <c r="E5" s="108" t="s">
        <v>133</v>
      </c>
      <c r="F5" s="49" t="s">
        <v>138</v>
      </c>
      <c r="G5" s="109">
        <f>ROUND(($B$18-G9)*26.5%,2)</f>
        <v>100.78</v>
      </c>
    </row>
    <row r="6" spans="1:7" ht="15.6">
      <c r="A6" s="14" t="s">
        <v>18</v>
      </c>
      <c r="B6" s="29">
        <f>(1+B5)^(1/12)-1</f>
        <v>8.1648460519010424E-3</v>
      </c>
      <c r="C6" s="25"/>
      <c r="D6" s="49" t="s">
        <v>12</v>
      </c>
      <c r="E6" s="106" t="s">
        <v>13</v>
      </c>
      <c r="F6" s="49" t="s">
        <v>139</v>
      </c>
      <c r="G6" s="110">
        <f>B18-G4-G5-G9</f>
        <v>190.14</v>
      </c>
    </row>
    <row r="7" spans="1:7" ht="30">
      <c r="A7" s="14" t="s">
        <v>19</v>
      </c>
      <c r="B7" s="29">
        <v>3.0000000000000001E-3</v>
      </c>
      <c r="C7" s="25" t="s">
        <v>9</v>
      </c>
      <c r="D7" s="111" t="s">
        <v>24</v>
      </c>
      <c r="E7" s="108" t="s">
        <v>25</v>
      </c>
      <c r="F7" s="49" t="s">
        <v>46</v>
      </c>
      <c r="G7" s="107">
        <f>B21</f>
        <v>0</v>
      </c>
    </row>
    <row r="8" spans="1:7" ht="15.6">
      <c r="A8" s="14" t="s">
        <v>21</v>
      </c>
      <c r="B8" s="33">
        <f>VLOOKUP(B4&amp;B14,最新定价!I1:L35,4,0)</f>
        <v>0.2485</v>
      </c>
      <c r="C8" s="25" t="s">
        <v>9</v>
      </c>
      <c r="D8" s="111" t="s">
        <v>29</v>
      </c>
      <c r="E8" s="108" t="s">
        <v>30</v>
      </c>
      <c r="F8" s="49" t="s">
        <v>46</v>
      </c>
      <c r="G8" s="107">
        <f>B20</f>
        <v>761.34</v>
      </c>
    </row>
    <row r="9" spans="1:7" ht="15.6">
      <c r="A9" s="14" t="s">
        <v>23</v>
      </c>
      <c r="B9" s="33">
        <f>VLOOKUP(B4&amp;B14,最新定价!I1:L35,2,0)</f>
        <v>4.19E-2</v>
      </c>
      <c r="C9" s="25" t="s">
        <v>9</v>
      </c>
      <c r="D9" s="49" t="s">
        <v>40</v>
      </c>
      <c r="E9" s="106" t="s">
        <v>15</v>
      </c>
      <c r="F9" s="112" t="s">
        <v>16</v>
      </c>
      <c r="G9" s="110">
        <f>B22</f>
        <v>38.71</v>
      </c>
    </row>
    <row r="10" spans="1:7" ht="15.6">
      <c r="A10" s="14" t="s">
        <v>27</v>
      </c>
      <c r="B10" s="33"/>
      <c r="C10" s="25" t="s">
        <v>28</v>
      </c>
      <c r="D10" s="49" t="s">
        <v>40</v>
      </c>
      <c r="E10" s="108" t="s">
        <v>32</v>
      </c>
      <c r="F10" s="49"/>
      <c r="G10" s="113">
        <f>B23</f>
        <v>1723.6599999999999</v>
      </c>
    </row>
    <row r="11" spans="1:7" ht="15.6">
      <c r="A11" s="39" t="s">
        <v>31</v>
      </c>
      <c r="B11" s="33">
        <f>VLOOKUP(B4&amp;B14,最新定价!I1:L35,3,0)</f>
        <v>5.8999999999999997E-2</v>
      </c>
      <c r="C11" s="25" t="s">
        <v>9</v>
      </c>
      <c r="D11" s="64"/>
      <c r="E11" s="64"/>
      <c r="F11" s="64" t="s">
        <v>137</v>
      </c>
      <c r="G11" s="114">
        <v>0.17</v>
      </c>
    </row>
    <row r="12" spans="1:7" ht="15.6">
      <c r="A12" s="40" t="s">
        <v>33</v>
      </c>
      <c r="B12" s="41">
        <f>第一笔生成器!B13</f>
        <v>43131</v>
      </c>
      <c r="C12" s="25"/>
      <c r="D12" s="32"/>
      <c r="E12" s="32"/>
      <c r="F12" s="32"/>
      <c r="G12" s="32"/>
    </row>
    <row r="13" spans="1:7" ht="15.6">
      <c r="A13" s="40" t="s">
        <v>34</v>
      </c>
      <c r="B13" s="41">
        <f>EDATE(B12,1)</f>
        <v>43159</v>
      </c>
      <c r="C13" s="25"/>
      <c r="D13" s="103" t="s">
        <v>135</v>
      </c>
      <c r="E13" s="32"/>
      <c r="F13" s="32"/>
      <c r="G13" s="32"/>
    </row>
    <row r="14" spans="1:7" ht="15.6">
      <c r="A14" s="42" t="s">
        <v>36</v>
      </c>
      <c r="B14" s="43" t="s">
        <v>37</v>
      </c>
      <c r="C14" s="32"/>
      <c r="D14" s="17" t="s">
        <v>4</v>
      </c>
      <c r="E14" s="17" t="s">
        <v>5</v>
      </c>
      <c r="F14" s="17" t="s">
        <v>38</v>
      </c>
      <c r="G14" s="17" t="s">
        <v>7</v>
      </c>
    </row>
    <row r="15" spans="1:7" ht="15.6">
      <c r="A15" s="101" t="s">
        <v>39</v>
      </c>
      <c r="B15" s="102"/>
      <c r="C15" s="32"/>
      <c r="D15" s="54" t="s">
        <v>40</v>
      </c>
      <c r="E15" s="104" t="s">
        <v>131</v>
      </c>
      <c r="F15" s="64" t="s">
        <v>136</v>
      </c>
      <c r="G15" s="35">
        <f>G4+G5+G9+G10</f>
        <v>1952.52</v>
      </c>
    </row>
    <row r="16" spans="1:7" ht="15.6">
      <c r="A16" s="51" t="s">
        <v>43</v>
      </c>
      <c r="B16" s="52">
        <f>ROUND(B3*B8,2)+ROUND(B3*B9,2)</f>
        <v>2904</v>
      </c>
      <c r="C16" s="20"/>
      <c r="D16" s="54" t="s">
        <v>12</v>
      </c>
      <c r="E16" s="104" t="s">
        <v>13</v>
      </c>
      <c r="F16" s="64" t="s">
        <v>44</v>
      </c>
      <c r="G16" s="27">
        <f>G6</f>
        <v>190.14</v>
      </c>
    </row>
    <row r="17" spans="1:11" ht="30">
      <c r="A17" s="51" t="s">
        <v>45</v>
      </c>
      <c r="B17" s="53">
        <f>ROUND(PMT(B6,B4,-B16),2)</f>
        <v>255.03</v>
      </c>
      <c r="C17" s="32"/>
      <c r="D17" s="54" t="s">
        <v>24</v>
      </c>
      <c r="E17" s="105" t="s">
        <v>25</v>
      </c>
      <c r="F17" s="64" t="s">
        <v>46</v>
      </c>
      <c r="G17" s="35">
        <f>G7</f>
        <v>0</v>
      </c>
    </row>
    <row r="18" spans="1:11" ht="15.6">
      <c r="A18" s="51" t="s">
        <v>1</v>
      </c>
      <c r="B18" s="52">
        <f>ROUND(B9*B3,2)</f>
        <v>419</v>
      </c>
      <c r="C18" s="32"/>
      <c r="D18" s="54" t="s">
        <v>29</v>
      </c>
      <c r="E18" s="105" t="s">
        <v>30</v>
      </c>
      <c r="F18" s="64" t="s">
        <v>46</v>
      </c>
      <c r="G18" s="35">
        <f>G8</f>
        <v>761.34</v>
      </c>
    </row>
    <row r="19" spans="1:11" ht="15.6">
      <c r="A19" s="51" t="s">
        <v>47</v>
      </c>
      <c r="B19" s="52">
        <f>ROUND(B8*B3,2)</f>
        <v>2485</v>
      </c>
      <c r="C19" s="32"/>
      <c r="D19" s="57"/>
      <c r="E19" s="32"/>
      <c r="F19" s="32"/>
      <c r="G19" s="32"/>
      <c r="H19" s="32"/>
    </row>
    <row r="20" spans="1:11" ht="15">
      <c r="A20" s="60" t="s">
        <v>30</v>
      </c>
      <c r="B20" s="62">
        <f>E20+E21</f>
        <v>761.34</v>
      </c>
      <c r="C20" s="61"/>
      <c r="D20" s="57" t="s">
        <v>48</v>
      </c>
      <c r="E20" s="44">
        <f>IF(B4&lt;=12,ROUND(B3*B11,2),0)</f>
        <v>590</v>
      </c>
      <c r="F20" s="32" t="s">
        <v>49</v>
      </c>
      <c r="G20" s="32">
        <f>ROUND(B3*B7,2)</f>
        <v>30</v>
      </c>
      <c r="H20" s="32"/>
      <c r="I20" s="32"/>
      <c r="J20" s="32"/>
      <c r="K20" s="32"/>
    </row>
    <row r="21" spans="1:11" ht="15">
      <c r="A21" s="60" t="s">
        <v>50</v>
      </c>
      <c r="B21" s="62">
        <f>E22+E23</f>
        <v>0</v>
      </c>
      <c r="C21" s="61"/>
      <c r="D21" s="57" t="s">
        <v>51</v>
      </c>
      <c r="E21" s="44">
        <f>IF(B4&lt;=12,ROUND(B16*B11,2),0)</f>
        <v>171.34</v>
      </c>
      <c r="F21" s="59" t="s">
        <v>52</v>
      </c>
      <c r="G21" s="32">
        <f>ROUND(B16*B7,2)</f>
        <v>8.7100000000000009</v>
      </c>
      <c r="H21" s="44" t="s">
        <v>53</v>
      </c>
      <c r="I21" s="32">
        <f>IF(B4&lt;=12,0,IF(B4&lt;=24,0.8%,IF(B4&lt;=36,1%,1.2%)))</f>
        <v>0</v>
      </c>
      <c r="J21" s="32"/>
      <c r="K21" s="32"/>
    </row>
    <row r="22" spans="1:11" ht="15.6">
      <c r="A22" s="60" t="s">
        <v>54</v>
      </c>
      <c r="B22" s="62">
        <f>G20+G21</f>
        <v>38.71</v>
      </c>
      <c r="C22" s="20"/>
      <c r="D22" s="63" t="s">
        <v>55</v>
      </c>
      <c r="E22" s="44">
        <f>IF(B4&gt;12,ROUND(B3*B11,2),0)</f>
        <v>0</v>
      </c>
      <c r="F22" s="50"/>
      <c r="G22" s="50"/>
      <c r="H22" s="50"/>
      <c r="I22" s="44"/>
      <c r="J22" s="44"/>
      <c r="K22" s="44"/>
    </row>
    <row r="23" spans="1:11" ht="15.6">
      <c r="A23" s="60" t="s">
        <v>32</v>
      </c>
      <c r="B23" s="62">
        <f>IF(B4&lt;=12,B3*B8-B20,B3*B8-B21)</f>
        <v>1723.6599999999999</v>
      </c>
      <c r="C23" s="20"/>
      <c r="D23" s="63" t="s">
        <v>56</v>
      </c>
      <c r="E23" s="44">
        <f>IF(B4&gt;12,ROUND(B16*B11,2),0)</f>
        <v>0</v>
      </c>
      <c r="F23" s="50"/>
      <c r="G23" s="50"/>
      <c r="H23" s="50"/>
      <c r="I23" s="50"/>
      <c r="J23" s="50"/>
      <c r="K23" s="50"/>
    </row>
    <row r="24" spans="1:11" ht="15">
      <c r="A24" s="64" t="s">
        <v>57</v>
      </c>
      <c r="B24" s="53">
        <f>0</f>
        <v>0</v>
      </c>
      <c r="C24" s="65"/>
      <c r="D24" s="58" t="s">
        <v>58</v>
      </c>
      <c r="E24" s="44">
        <f>ROUND(B3*I21,2)</f>
        <v>0</v>
      </c>
      <c r="F24" s="32"/>
      <c r="G24" s="32"/>
      <c r="H24" s="32"/>
      <c r="I24" s="32"/>
      <c r="J24" s="32"/>
      <c r="K24" s="32"/>
    </row>
    <row r="25" spans="1:11" ht="15">
      <c r="A25" s="66" t="s">
        <v>59</v>
      </c>
      <c r="B25" s="15">
        <f>B3+B16</f>
        <v>12904</v>
      </c>
      <c r="C25" s="58"/>
      <c r="D25" s="58" t="s">
        <v>60</v>
      </c>
      <c r="E25" s="44">
        <f>ROUND(B16*I21,2)</f>
        <v>0</v>
      </c>
      <c r="F25" s="67"/>
      <c r="G25" s="32"/>
      <c r="H25" s="32"/>
      <c r="I25" s="32"/>
      <c r="J25" s="32"/>
      <c r="K25" s="32"/>
    </row>
    <row r="26" spans="1:11" ht="15">
      <c r="A26" s="58"/>
      <c r="B26" s="68"/>
      <c r="C26" s="58"/>
      <c r="F26" s="67"/>
      <c r="G26" s="32"/>
      <c r="H26" s="32"/>
      <c r="I26" s="32"/>
      <c r="J26" s="32"/>
      <c r="K26" s="32"/>
    </row>
    <row r="27" spans="1:11" ht="15.6">
      <c r="A27" s="69" t="s">
        <v>61</v>
      </c>
      <c r="B27" s="68"/>
      <c r="C27" s="58"/>
      <c r="F27" s="67"/>
      <c r="G27" s="32"/>
      <c r="H27" s="32"/>
      <c r="I27" s="32"/>
      <c r="J27" s="32"/>
      <c r="K27" s="32"/>
    </row>
    <row r="28" spans="1:11" ht="15.6">
      <c r="A28" s="70" t="s">
        <v>62</v>
      </c>
      <c r="B28" s="70" t="s">
        <v>63</v>
      </c>
      <c r="C28" s="70" t="s">
        <v>64</v>
      </c>
      <c r="D28" s="70" t="s">
        <v>65</v>
      </c>
      <c r="E28" s="70" t="s">
        <v>66</v>
      </c>
      <c r="F28" s="70" t="s">
        <v>67</v>
      </c>
      <c r="G28" s="70" t="s">
        <v>68</v>
      </c>
      <c r="H28" s="32"/>
      <c r="I28" s="32"/>
      <c r="J28" s="32"/>
      <c r="K28" s="32"/>
    </row>
    <row r="29" spans="1:11" ht="15.6">
      <c r="A29" s="71">
        <v>1</v>
      </c>
      <c r="B29" s="72">
        <f>IF(A29="超出期限","超出期限",EDATE($B$12,A29))</f>
        <v>43159</v>
      </c>
      <c r="C29" s="73">
        <f>IF(A29&gt;$B$4,0,IF(A29=$B$4,D29+E29,$B$17))</f>
        <v>255.03</v>
      </c>
      <c r="D29" s="73">
        <f>B16</f>
        <v>2904</v>
      </c>
      <c r="E29" s="74">
        <f>ROUND(IF(A29="超出期限",0,D29*$B$6),2)</f>
        <v>23.71</v>
      </c>
      <c r="F29" s="75">
        <f t="shared" ref="F29:F84" si="0">IF(A29="超出期限",0,IF(A29=$B$4,D29,C29-E29))</f>
        <v>231.32</v>
      </c>
      <c r="G29" s="27">
        <f>E29+D29</f>
        <v>2927.71</v>
      </c>
      <c r="H29" s="32"/>
      <c r="I29" s="32"/>
      <c r="J29" s="32"/>
      <c r="K29" s="32"/>
    </row>
    <row r="30" spans="1:11" ht="15.6">
      <c r="A30" s="71">
        <f>IF(A29&lt;$B$4,A29+1,"超出期限")</f>
        <v>2</v>
      </c>
      <c r="B30" s="72">
        <f t="shared" ref="B30:B84" si="1">IF(A30="超出期限","超出期限",EDATE($B$12,A30))</f>
        <v>43190</v>
      </c>
      <c r="C30" s="73">
        <f t="shared" ref="C30:C84" si="2">IF(A30&gt;$B$4,0,IF(A30=$B$4,D30+E30,$B$17))</f>
        <v>255.03</v>
      </c>
      <c r="D30" s="73">
        <f t="shared" ref="D30:D84" si="3">IF(A30="超出期限",0,D29-F29)</f>
        <v>2672.68</v>
      </c>
      <c r="E30" s="74">
        <f t="shared" ref="E30:E84" si="4">ROUND(IF(A30="超出期限",0,D30*$B$6),2)</f>
        <v>21.82</v>
      </c>
      <c r="F30" s="75">
        <f t="shared" si="0"/>
        <v>233.21</v>
      </c>
      <c r="G30" s="27">
        <f>E30+D30</f>
        <v>2694.5</v>
      </c>
      <c r="H30" s="32"/>
      <c r="I30" s="32"/>
      <c r="J30" s="32"/>
      <c r="K30" s="32"/>
    </row>
    <row r="31" spans="1:11" ht="15.6">
      <c r="A31" s="71">
        <f t="shared" ref="A31:A84" si="5">IF(A30&lt;$B$4,A30+1,"超出期限")</f>
        <v>3</v>
      </c>
      <c r="B31" s="72">
        <f t="shared" si="1"/>
        <v>43220</v>
      </c>
      <c r="C31" s="73">
        <f t="shared" si="2"/>
        <v>255.03</v>
      </c>
      <c r="D31" s="73">
        <f t="shared" si="3"/>
        <v>2439.4699999999998</v>
      </c>
      <c r="E31" s="74">
        <f t="shared" si="4"/>
        <v>19.920000000000002</v>
      </c>
      <c r="F31" s="75">
        <f t="shared" si="0"/>
        <v>235.11</v>
      </c>
      <c r="G31" s="27">
        <f t="shared" ref="G31:G84" si="6">E31+D31</f>
        <v>2459.39</v>
      </c>
      <c r="H31" s="32"/>
      <c r="I31" s="32"/>
      <c r="J31" s="32"/>
      <c r="K31" s="32"/>
    </row>
    <row r="32" spans="1:11" ht="15.6">
      <c r="A32" s="71">
        <f t="shared" si="5"/>
        <v>4</v>
      </c>
      <c r="B32" s="72">
        <f t="shared" si="1"/>
        <v>43251</v>
      </c>
      <c r="C32" s="73">
        <f t="shared" si="2"/>
        <v>255.03</v>
      </c>
      <c r="D32" s="73">
        <f t="shared" si="3"/>
        <v>2204.3599999999997</v>
      </c>
      <c r="E32" s="74">
        <f t="shared" si="4"/>
        <v>18</v>
      </c>
      <c r="F32" s="75">
        <f t="shared" si="0"/>
        <v>237.03</v>
      </c>
      <c r="G32" s="27">
        <f t="shared" si="6"/>
        <v>2222.3599999999997</v>
      </c>
      <c r="H32" s="32"/>
      <c r="I32" s="32"/>
      <c r="J32" s="32"/>
      <c r="K32" s="32"/>
    </row>
    <row r="33" spans="1:11" ht="15.6">
      <c r="A33" s="71">
        <f t="shared" si="5"/>
        <v>5</v>
      </c>
      <c r="B33" s="72">
        <f t="shared" si="1"/>
        <v>43281</v>
      </c>
      <c r="C33" s="73">
        <f t="shared" si="2"/>
        <v>255.03</v>
      </c>
      <c r="D33" s="73">
        <f t="shared" si="3"/>
        <v>1967.3299999999997</v>
      </c>
      <c r="E33" s="74">
        <f t="shared" si="4"/>
        <v>16.059999999999999</v>
      </c>
      <c r="F33" s="75">
        <f t="shared" si="0"/>
        <v>238.97</v>
      </c>
      <c r="G33" s="27">
        <f t="shared" si="6"/>
        <v>1983.3899999999996</v>
      </c>
      <c r="H33" s="32"/>
      <c r="I33" s="32"/>
      <c r="J33" s="32"/>
      <c r="K33" s="32"/>
    </row>
    <row r="34" spans="1:11" ht="15.6">
      <c r="A34" s="71">
        <f t="shared" si="5"/>
        <v>6</v>
      </c>
      <c r="B34" s="72">
        <f t="shared" si="1"/>
        <v>43312</v>
      </c>
      <c r="C34" s="73">
        <f t="shared" si="2"/>
        <v>255.03</v>
      </c>
      <c r="D34" s="73">
        <f t="shared" si="3"/>
        <v>1728.3599999999997</v>
      </c>
      <c r="E34" s="74">
        <f t="shared" si="4"/>
        <v>14.11</v>
      </c>
      <c r="F34" s="75">
        <f t="shared" si="0"/>
        <v>240.92000000000002</v>
      </c>
      <c r="G34" s="27">
        <f t="shared" si="6"/>
        <v>1742.4699999999996</v>
      </c>
      <c r="H34" s="32"/>
      <c r="I34" s="32"/>
      <c r="J34" s="32"/>
      <c r="K34" s="32"/>
    </row>
    <row r="35" spans="1:11" ht="15.6">
      <c r="A35" s="71">
        <f t="shared" si="5"/>
        <v>7</v>
      </c>
      <c r="B35" s="72">
        <f t="shared" si="1"/>
        <v>43343</v>
      </c>
      <c r="C35" s="73">
        <f t="shared" si="2"/>
        <v>255.03</v>
      </c>
      <c r="D35" s="73">
        <f t="shared" si="3"/>
        <v>1487.4399999999996</v>
      </c>
      <c r="E35" s="74">
        <f t="shared" si="4"/>
        <v>12.14</v>
      </c>
      <c r="F35" s="75">
        <f t="shared" si="0"/>
        <v>242.89</v>
      </c>
      <c r="G35" s="27">
        <f t="shared" si="6"/>
        <v>1499.5799999999997</v>
      </c>
      <c r="H35" s="32"/>
      <c r="I35" s="32"/>
      <c r="J35" s="32"/>
      <c r="K35" s="32"/>
    </row>
    <row r="36" spans="1:11" ht="15.6">
      <c r="A36" s="71">
        <f t="shared" si="5"/>
        <v>8</v>
      </c>
      <c r="B36" s="72">
        <f t="shared" si="1"/>
        <v>43373</v>
      </c>
      <c r="C36" s="73">
        <f t="shared" si="2"/>
        <v>255.03</v>
      </c>
      <c r="D36" s="73">
        <f t="shared" si="3"/>
        <v>1244.5499999999997</v>
      </c>
      <c r="E36" s="74">
        <f t="shared" si="4"/>
        <v>10.16</v>
      </c>
      <c r="F36" s="75">
        <f t="shared" si="0"/>
        <v>244.87</v>
      </c>
      <c r="G36" s="27">
        <f t="shared" si="6"/>
        <v>1254.7099999999998</v>
      </c>
      <c r="H36" s="32"/>
      <c r="I36" s="32"/>
      <c r="J36" s="32"/>
      <c r="K36" s="32"/>
    </row>
    <row r="37" spans="1:11" ht="15.6">
      <c r="A37" s="71">
        <f t="shared" si="5"/>
        <v>9</v>
      </c>
      <c r="B37" s="72">
        <f t="shared" si="1"/>
        <v>43404</v>
      </c>
      <c r="C37" s="73">
        <f t="shared" si="2"/>
        <v>255.03</v>
      </c>
      <c r="D37" s="73">
        <f t="shared" si="3"/>
        <v>999.67999999999972</v>
      </c>
      <c r="E37" s="74">
        <f t="shared" si="4"/>
        <v>8.16</v>
      </c>
      <c r="F37" s="75">
        <f t="shared" si="0"/>
        <v>246.87</v>
      </c>
      <c r="G37" s="27">
        <f t="shared" si="6"/>
        <v>1007.8399999999997</v>
      </c>
      <c r="H37" s="77"/>
      <c r="I37" s="65"/>
    </row>
    <row r="38" spans="1:11" ht="15.6">
      <c r="A38" s="71">
        <f t="shared" si="5"/>
        <v>10</v>
      </c>
      <c r="B38" s="72">
        <f t="shared" si="1"/>
        <v>43434</v>
      </c>
      <c r="C38" s="73">
        <f t="shared" si="2"/>
        <v>255.03</v>
      </c>
      <c r="D38" s="73">
        <f t="shared" si="3"/>
        <v>752.80999999999972</v>
      </c>
      <c r="E38" s="74">
        <f t="shared" si="4"/>
        <v>6.15</v>
      </c>
      <c r="F38" s="75">
        <f t="shared" si="0"/>
        <v>248.88</v>
      </c>
      <c r="G38" s="27">
        <f t="shared" si="6"/>
        <v>758.9599999999997</v>
      </c>
      <c r="H38" s="77"/>
      <c r="I38" s="65"/>
    </row>
    <row r="39" spans="1:11" ht="15.6">
      <c r="A39" s="71">
        <f t="shared" si="5"/>
        <v>11</v>
      </c>
      <c r="B39" s="72">
        <f t="shared" si="1"/>
        <v>43465</v>
      </c>
      <c r="C39" s="73">
        <f t="shared" si="2"/>
        <v>255.03</v>
      </c>
      <c r="D39" s="73">
        <f t="shared" si="3"/>
        <v>503.92999999999972</v>
      </c>
      <c r="E39" s="74">
        <f t="shared" si="4"/>
        <v>4.1100000000000003</v>
      </c>
      <c r="F39" s="75">
        <f t="shared" si="0"/>
        <v>250.92</v>
      </c>
      <c r="G39" s="27">
        <f t="shared" si="6"/>
        <v>508.03999999999974</v>
      </c>
      <c r="H39" s="77"/>
      <c r="I39" s="65"/>
    </row>
    <row r="40" spans="1:11" ht="15.6">
      <c r="A40" s="71">
        <f t="shared" si="5"/>
        <v>12</v>
      </c>
      <c r="B40" s="72">
        <f t="shared" si="1"/>
        <v>43496</v>
      </c>
      <c r="C40" s="73">
        <f t="shared" si="2"/>
        <v>255.07999999999973</v>
      </c>
      <c r="D40" s="73">
        <f t="shared" si="3"/>
        <v>253.00999999999974</v>
      </c>
      <c r="E40" s="74">
        <f t="shared" si="4"/>
        <v>2.0699999999999998</v>
      </c>
      <c r="F40" s="75">
        <f t="shared" si="0"/>
        <v>253.00999999999974</v>
      </c>
      <c r="G40" s="27">
        <f t="shared" si="6"/>
        <v>255.07999999999973</v>
      </c>
      <c r="H40" s="77"/>
      <c r="I40" s="32"/>
    </row>
    <row r="41" spans="1:11" ht="15.6">
      <c r="A41" s="71" t="str">
        <f t="shared" si="5"/>
        <v>超出期限</v>
      </c>
      <c r="B41" s="72" t="str">
        <f t="shared" si="1"/>
        <v>超出期限</v>
      </c>
      <c r="C41" s="73">
        <f t="shared" si="2"/>
        <v>0</v>
      </c>
      <c r="D41" s="73">
        <f t="shared" si="3"/>
        <v>0</v>
      </c>
      <c r="E41" s="74">
        <f t="shared" si="4"/>
        <v>0</v>
      </c>
      <c r="F41" s="75">
        <f t="shared" si="0"/>
        <v>0</v>
      </c>
      <c r="G41" s="27">
        <f t="shared" si="6"/>
        <v>0</v>
      </c>
      <c r="H41" s="77"/>
      <c r="I41" s="32"/>
    </row>
    <row r="42" spans="1:11" ht="15.6">
      <c r="A42" s="71" t="str">
        <f t="shared" si="5"/>
        <v>超出期限</v>
      </c>
      <c r="B42" s="72" t="str">
        <f t="shared" si="1"/>
        <v>超出期限</v>
      </c>
      <c r="C42" s="73">
        <f t="shared" si="2"/>
        <v>0</v>
      </c>
      <c r="D42" s="73">
        <f t="shared" si="3"/>
        <v>0</v>
      </c>
      <c r="E42" s="74">
        <f t="shared" si="4"/>
        <v>0</v>
      </c>
      <c r="F42" s="75">
        <f t="shared" si="0"/>
        <v>0</v>
      </c>
      <c r="G42" s="27">
        <f t="shared" si="6"/>
        <v>0</v>
      </c>
      <c r="H42" s="77"/>
      <c r="I42" s="32"/>
    </row>
    <row r="43" spans="1:11" ht="15.6">
      <c r="A43" s="71" t="str">
        <f t="shared" si="5"/>
        <v>超出期限</v>
      </c>
      <c r="B43" s="72" t="str">
        <f t="shared" si="1"/>
        <v>超出期限</v>
      </c>
      <c r="C43" s="73">
        <f t="shared" si="2"/>
        <v>0</v>
      </c>
      <c r="D43" s="73">
        <f t="shared" si="3"/>
        <v>0</v>
      </c>
      <c r="E43" s="74">
        <f t="shared" si="4"/>
        <v>0</v>
      </c>
      <c r="F43" s="75">
        <f t="shared" si="0"/>
        <v>0</v>
      </c>
      <c r="G43" s="27">
        <f t="shared" si="6"/>
        <v>0</v>
      </c>
      <c r="H43" s="77"/>
    </row>
    <row r="44" spans="1:11" ht="15.6">
      <c r="A44" s="71" t="str">
        <f t="shared" si="5"/>
        <v>超出期限</v>
      </c>
      <c r="B44" s="72" t="str">
        <f t="shared" si="1"/>
        <v>超出期限</v>
      </c>
      <c r="C44" s="73">
        <f t="shared" si="2"/>
        <v>0</v>
      </c>
      <c r="D44" s="73">
        <f t="shared" si="3"/>
        <v>0</v>
      </c>
      <c r="E44" s="74">
        <f t="shared" si="4"/>
        <v>0</v>
      </c>
      <c r="F44" s="75">
        <f t="shared" si="0"/>
        <v>0</v>
      </c>
      <c r="G44" s="27">
        <f t="shared" si="6"/>
        <v>0</v>
      </c>
      <c r="H44" s="98"/>
    </row>
    <row r="45" spans="1:11" ht="15.6">
      <c r="A45" s="71" t="str">
        <f t="shared" si="5"/>
        <v>超出期限</v>
      </c>
      <c r="B45" s="72" t="str">
        <f t="shared" si="1"/>
        <v>超出期限</v>
      </c>
      <c r="C45" s="73">
        <f t="shared" si="2"/>
        <v>0</v>
      </c>
      <c r="D45" s="73">
        <f t="shared" si="3"/>
        <v>0</v>
      </c>
      <c r="E45" s="74">
        <f t="shared" si="4"/>
        <v>0</v>
      </c>
      <c r="F45" s="75">
        <f t="shared" si="0"/>
        <v>0</v>
      </c>
      <c r="G45" s="27">
        <f t="shared" si="6"/>
        <v>0</v>
      </c>
      <c r="H45" s="98"/>
    </row>
    <row r="46" spans="1:11" ht="15.6">
      <c r="A46" s="71" t="str">
        <f t="shared" si="5"/>
        <v>超出期限</v>
      </c>
      <c r="B46" s="72" t="str">
        <f t="shared" si="1"/>
        <v>超出期限</v>
      </c>
      <c r="C46" s="73">
        <f t="shared" si="2"/>
        <v>0</v>
      </c>
      <c r="D46" s="73">
        <f t="shared" si="3"/>
        <v>0</v>
      </c>
      <c r="E46" s="74">
        <f t="shared" si="4"/>
        <v>0</v>
      </c>
      <c r="F46" s="75">
        <f t="shared" si="0"/>
        <v>0</v>
      </c>
      <c r="G46" s="27">
        <f t="shared" si="6"/>
        <v>0</v>
      </c>
      <c r="H46" s="98"/>
    </row>
    <row r="47" spans="1:11" ht="15.6">
      <c r="A47" s="71" t="str">
        <f t="shared" si="5"/>
        <v>超出期限</v>
      </c>
      <c r="B47" s="72" t="str">
        <f t="shared" si="1"/>
        <v>超出期限</v>
      </c>
      <c r="C47" s="73">
        <f t="shared" si="2"/>
        <v>0</v>
      </c>
      <c r="D47" s="73">
        <f t="shared" si="3"/>
        <v>0</v>
      </c>
      <c r="E47" s="74">
        <f t="shared" si="4"/>
        <v>0</v>
      </c>
      <c r="F47" s="75">
        <f t="shared" si="0"/>
        <v>0</v>
      </c>
      <c r="G47" s="27">
        <f t="shared" si="6"/>
        <v>0</v>
      </c>
    </row>
    <row r="48" spans="1:11" ht="15.6">
      <c r="A48" s="71" t="str">
        <f t="shared" si="5"/>
        <v>超出期限</v>
      </c>
      <c r="B48" s="72" t="str">
        <f t="shared" si="1"/>
        <v>超出期限</v>
      </c>
      <c r="C48" s="73">
        <f t="shared" si="2"/>
        <v>0</v>
      </c>
      <c r="D48" s="73">
        <f t="shared" si="3"/>
        <v>0</v>
      </c>
      <c r="E48" s="74">
        <f t="shared" si="4"/>
        <v>0</v>
      </c>
      <c r="F48" s="75">
        <f t="shared" si="0"/>
        <v>0</v>
      </c>
      <c r="G48" s="27">
        <f t="shared" si="6"/>
        <v>0</v>
      </c>
    </row>
    <row r="49" spans="1:7" ht="15.6">
      <c r="A49" s="71" t="str">
        <f t="shared" si="5"/>
        <v>超出期限</v>
      </c>
      <c r="B49" s="72" t="str">
        <f t="shared" si="1"/>
        <v>超出期限</v>
      </c>
      <c r="C49" s="73">
        <f t="shared" si="2"/>
        <v>0</v>
      </c>
      <c r="D49" s="73">
        <f t="shared" si="3"/>
        <v>0</v>
      </c>
      <c r="E49" s="74">
        <f t="shared" si="4"/>
        <v>0</v>
      </c>
      <c r="F49" s="75">
        <f t="shared" si="0"/>
        <v>0</v>
      </c>
      <c r="G49" s="27">
        <f t="shared" si="6"/>
        <v>0</v>
      </c>
    </row>
    <row r="50" spans="1:7" ht="15.6">
      <c r="A50" s="71" t="str">
        <f t="shared" si="5"/>
        <v>超出期限</v>
      </c>
      <c r="B50" s="72" t="str">
        <f t="shared" si="1"/>
        <v>超出期限</v>
      </c>
      <c r="C50" s="73">
        <f t="shared" si="2"/>
        <v>0</v>
      </c>
      <c r="D50" s="73">
        <f t="shared" si="3"/>
        <v>0</v>
      </c>
      <c r="E50" s="74">
        <f t="shared" si="4"/>
        <v>0</v>
      </c>
      <c r="F50" s="75">
        <f t="shared" si="0"/>
        <v>0</v>
      </c>
      <c r="G50" s="27">
        <f t="shared" si="6"/>
        <v>0</v>
      </c>
    </row>
    <row r="51" spans="1:7" ht="15.6">
      <c r="A51" s="71" t="str">
        <f t="shared" si="5"/>
        <v>超出期限</v>
      </c>
      <c r="B51" s="72" t="str">
        <f t="shared" si="1"/>
        <v>超出期限</v>
      </c>
      <c r="C51" s="73">
        <f t="shared" si="2"/>
        <v>0</v>
      </c>
      <c r="D51" s="73">
        <f t="shared" si="3"/>
        <v>0</v>
      </c>
      <c r="E51" s="74">
        <f t="shared" si="4"/>
        <v>0</v>
      </c>
      <c r="F51" s="75">
        <f t="shared" si="0"/>
        <v>0</v>
      </c>
      <c r="G51" s="27">
        <f t="shared" si="6"/>
        <v>0</v>
      </c>
    </row>
    <row r="52" spans="1:7" ht="15.6">
      <c r="A52" s="71" t="str">
        <f t="shared" si="5"/>
        <v>超出期限</v>
      </c>
      <c r="B52" s="72" t="str">
        <f t="shared" si="1"/>
        <v>超出期限</v>
      </c>
      <c r="C52" s="73">
        <f t="shared" si="2"/>
        <v>0</v>
      </c>
      <c r="D52" s="73">
        <f t="shared" si="3"/>
        <v>0</v>
      </c>
      <c r="E52" s="74">
        <f t="shared" si="4"/>
        <v>0</v>
      </c>
      <c r="F52" s="75">
        <f t="shared" si="0"/>
        <v>0</v>
      </c>
      <c r="G52" s="27">
        <f t="shared" si="6"/>
        <v>0</v>
      </c>
    </row>
    <row r="53" spans="1:7" ht="15.6">
      <c r="A53" s="71" t="str">
        <f t="shared" si="5"/>
        <v>超出期限</v>
      </c>
      <c r="B53" s="72" t="str">
        <f t="shared" si="1"/>
        <v>超出期限</v>
      </c>
      <c r="C53" s="73">
        <f t="shared" si="2"/>
        <v>0</v>
      </c>
      <c r="D53" s="73">
        <f t="shared" si="3"/>
        <v>0</v>
      </c>
      <c r="E53" s="74">
        <f t="shared" si="4"/>
        <v>0</v>
      </c>
      <c r="F53" s="75">
        <f t="shared" si="0"/>
        <v>0</v>
      </c>
      <c r="G53" s="27">
        <f t="shared" si="6"/>
        <v>0</v>
      </c>
    </row>
    <row r="54" spans="1:7" ht="15.6">
      <c r="A54" s="71" t="str">
        <f t="shared" si="5"/>
        <v>超出期限</v>
      </c>
      <c r="B54" s="72" t="str">
        <f t="shared" si="1"/>
        <v>超出期限</v>
      </c>
      <c r="C54" s="73">
        <f t="shared" si="2"/>
        <v>0</v>
      </c>
      <c r="D54" s="73">
        <f t="shared" si="3"/>
        <v>0</v>
      </c>
      <c r="E54" s="74">
        <f t="shared" si="4"/>
        <v>0</v>
      </c>
      <c r="F54" s="75">
        <f t="shared" si="0"/>
        <v>0</v>
      </c>
      <c r="G54" s="27">
        <f t="shared" si="6"/>
        <v>0</v>
      </c>
    </row>
    <row r="55" spans="1:7" ht="15.6">
      <c r="A55" s="71" t="str">
        <f t="shared" si="5"/>
        <v>超出期限</v>
      </c>
      <c r="B55" s="72" t="str">
        <f t="shared" si="1"/>
        <v>超出期限</v>
      </c>
      <c r="C55" s="73">
        <f t="shared" si="2"/>
        <v>0</v>
      </c>
      <c r="D55" s="73">
        <f t="shared" si="3"/>
        <v>0</v>
      </c>
      <c r="E55" s="74">
        <f t="shared" si="4"/>
        <v>0</v>
      </c>
      <c r="F55" s="75">
        <f t="shared" si="0"/>
        <v>0</v>
      </c>
      <c r="G55" s="27">
        <f t="shared" si="6"/>
        <v>0</v>
      </c>
    </row>
    <row r="56" spans="1:7" ht="15.6">
      <c r="A56" s="71" t="str">
        <f t="shared" si="5"/>
        <v>超出期限</v>
      </c>
      <c r="B56" s="72" t="str">
        <f t="shared" si="1"/>
        <v>超出期限</v>
      </c>
      <c r="C56" s="73">
        <f t="shared" si="2"/>
        <v>0</v>
      </c>
      <c r="D56" s="73">
        <f t="shared" si="3"/>
        <v>0</v>
      </c>
      <c r="E56" s="74">
        <f t="shared" si="4"/>
        <v>0</v>
      </c>
      <c r="F56" s="75">
        <f t="shared" si="0"/>
        <v>0</v>
      </c>
      <c r="G56" s="27">
        <f t="shared" si="6"/>
        <v>0</v>
      </c>
    </row>
    <row r="57" spans="1:7" ht="15.6">
      <c r="A57" s="71" t="str">
        <f t="shared" si="5"/>
        <v>超出期限</v>
      </c>
      <c r="B57" s="72" t="str">
        <f t="shared" si="1"/>
        <v>超出期限</v>
      </c>
      <c r="C57" s="73">
        <f t="shared" si="2"/>
        <v>0</v>
      </c>
      <c r="D57" s="73">
        <f t="shared" si="3"/>
        <v>0</v>
      </c>
      <c r="E57" s="74">
        <f t="shared" si="4"/>
        <v>0</v>
      </c>
      <c r="F57" s="75">
        <f t="shared" si="0"/>
        <v>0</v>
      </c>
      <c r="G57" s="27">
        <f t="shared" si="6"/>
        <v>0</v>
      </c>
    </row>
    <row r="58" spans="1:7" ht="15.6">
      <c r="A58" s="71" t="str">
        <f t="shared" si="5"/>
        <v>超出期限</v>
      </c>
      <c r="B58" s="72" t="str">
        <f t="shared" si="1"/>
        <v>超出期限</v>
      </c>
      <c r="C58" s="73">
        <f t="shared" si="2"/>
        <v>0</v>
      </c>
      <c r="D58" s="73">
        <f t="shared" si="3"/>
        <v>0</v>
      </c>
      <c r="E58" s="74">
        <f t="shared" si="4"/>
        <v>0</v>
      </c>
      <c r="F58" s="75">
        <f t="shared" si="0"/>
        <v>0</v>
      </c>
      <c r="G58" s="27">
        <f t="shared" si="6"/>
        <v>0</v>
      </c>
    </row>
    <row r="59" spans="1:7" ht="15.6">
      <c r="A59" s="71" t="str">
        <f t="shared" si="5"/>
        <v>超出期限</v>
      </c>
      <c r="B59" s="72" t="str">
        <f t="shared" si="1"/>
        <v>超出期限</v>
      </c>
      <c r="C59" s="73">
        <f t="shared" si="2"/>
        <v>0</v>
      </c>
      <c r="D59" s="73">
        <f t="shared" si="3"/>
        <v>0</v>
      </c>
      <c r="E59" s="74">
        <f t="shared" si="4"/>
        <v>0</v>
      </c>
      <c r="F59" s="75">
        <f t="shared" si="0"/>
        <v>0</v>
      </c>
      <c r="G59" s="27">
        <f t="shared" si="6"/>
        <v>0</v>
      </c>
    </row>
    <row r="60" spans="1:7" ht="15.6">
      <c r="A60" s="71" t="str">
        <f t="shared" si="5"/>
        <v>超出期限</v>
      </c>
      <c r="B60" s="72" t="str">
        <f t="shared" si="1"/>
        <v>超出期限</v>
      </c>
      <c r="C60" s="73">
        <f t="shared" si="2"/>
        <v>0</v>
      </c>
      <c r="D60" s="73">
        <f t="shared" si="3"/>
        <v>0</v>
      </c>
      <c r="E60" s="74">
        <f t="shared" si="4"/>
        <v>0</v>
      </c>
      <c r="F60" s="75">
        <f t="shared" si="0"/>
        <v>0</v>
      </c>
      <c r="G60" s="27">
        <f t="shared" si="6"/>
        <v>0</v>
      </c>
    </row>
    <row r="61" spans="1:7" ht="15.6">
      <c r="A61" s="71" t="str">
        <f t="shared" si="5"/>
        <v>超出期限</v>
      </c>
      <c r="B61" s="72" t="str">
        <f t="shared" si="1"/>
        <v>超出期限</v>
      </c>
      <c r="C61" s="73">
        <f t="shared" si="2"/>
        <v>0</v>
      </c>
      <c r="D61" s="73">
        <f t="shared" si="3"/>
        <v>0</v>
      </c>
      <c r="E61" s="74">
        <f t="shared" si="4"/>
        <v>0</v>
      </c>
      <c r="F61" s="75">
        <f t="shared" si="0"/>
        <v>0</v>
      </c>
      <c r="G61" s="27">
        <f t="shared" si="6"/>
        <v>0</v>
      </c>
    </row>
    <row r="62" spans="1:7" ht="15.6">
      <c r="A62" s="71" t="str">
        <f t="shared" si="5"/>
        <v>超出期限</v>
      </c>
      <c r="B62" s="72" t="str">
        <f t="shared" si="1"/>
        <v>超出期限</v>
      </c>
      <c r="C62" s="73">
        <f t="shared" si="2"/>
        <v>0</v>
      </c>
      <c r="D62" s="73">
        <f t="shared" si="3"/>
        <v>0</v>
      </c>
      <c r="E62" s="74">
        <f t="shared" si="4"/>
        <v>0</v>
      </c>
      <c r="F62" s="75">
        <f t="shared" si="0"/>
        <v>0</v>
      </c>
      <c r="G62" s="27">
        <f t="shared" si="6"/>
        <v>0</v>
      </c>
    </row>
    <row r="63" spans="1:7" ht="15.6">
      <c r="A63" s="71" t="str">
        <f t="shared" si="5"/>
        <v>超出期限</v>
      </c>
      <c r="B63" s="72" t="str">
        <f t="shared" si="1"/>
        <v>超出期限</v>
      </c>
      <c r="C63" s="73">
        <f t="shared" si="2"/>
        <v>0</v>
      </c>
      <c r="D63" s="73">
        <f t="shared" si="3"/>
        <v>0</v>
      </c>
      <c r="E63" s="74">
        <f t="shared" si="4"/>
        <v>0</v>
      </c>
      <c r="F63" s="75">
        <f t="shared" si="0"/>
        <v>0</v>
      </c>
      <c r="G63" s="27">
        <f t="shared" si="6"/>
        <v>0</v>
      </c>
    </row>
    <row r="64" spans="1:7" ht="15.6">
      <c r="A64" s="71" t="str">
        <f t="shared" si="5"/>
        <v>超出期限</v>
      </c>
      <c r="B64" s="72" t="str">
        <f t="shared" si="1"/>
        <v>超出期限</v>
      </c>
      <c r="C64" s="73">
        <f t="shared" si="2"/>
        <v>0</v>
      </c>
      <c r="D64" s="73">
        <f t="shared" si="3"/>
        <v>0</v>
      </c>
      <c r="E64" s="74">
        <f t="shared" si="4"/>
        <v>0</v>
      </c>
      <c r="F64" s="75">
        <f t="shared" si="0"/>
        <v>0</v>
      </c>
      <c r="G64" s="27">
        <f t="shared" si="6"/>
        <v>0</v>
      </c>
    </row>
    <row r="65" spans="1:7" ht="15.6">
      <c r="A65" s="71" t="str">
        <f t="shared" si="5"/>
        <v>超出期限</v>
      </c>
      <c r="B65" s="72" t="str">
        <f t="shared" si="1"/>
        <v>超出期限</v>
      </c>
      <c r="C65" s="73">
        <f t="shared" si="2"/>
        <v>0</v>
      </c>
      <c r="D65" s="73">
        <f t="shared" si="3"/>
        <v>0</v>
      </c>
      <c r="E65" s="74">
        <f t="shared" si="4"/>
        <v>0</v>
      </c>
      <c r="F65" s="75">
        <f t="shared" si="0"/>
        <v>0</v>
      </c>
      <c r="G65" s="27">
        <f t="shared" si="6"/>
        <v>0</v>
      </c>
    </row>
    <row r="66" spans="1:7" ht="15.6">
      <c r="A66" s="71" t="str">
        <f t="shared" si="5"/>
        <v>超出期限</v>
      </c>
      <c r="B66" s="72" t="str">
        <f t="shared" si="1"/>
        <v>超出期限</v>
      </c>
      <c r="C66" s="73">
        <f t="shared" si="2"/>
        <v>0</v>
      </c>
      <c r="D66" s="73">
        <f t="shared" si="3"/>
        <v>0</v>
      </c>
      <c r="E66" s="74">
        <f t="shared" si="4"/>
        <v>0</v>
      </c>
      <c r="F66" s="75">
        <f t="shared" si="0"/>
        <v>0</v>
      </c>
      <c r="G66" s="27">
        <f t="shared" si="6"/>
        <v>0</v>
      </c>
    </row>
    <row r="67" spans="1:7" ht="15.6">
      <c r="A67" s="71" t="str">
        <f t="shared" si="5"/>
        <v>超出期限</v>
      </c>
      <c r="B67" s="72" t="str">
        <f t="shared" si="1"/>
        <v>超出期限</v>
      </c>
      <c r="C67" s="73">
        <f t="shared" si="2"/>
        <v>0</v>
      </c>
      <c r="D67" s="73">
        <f t="shared" si="3"/>
        <v>0</v>
      </c>
      <c r="E67" s="74">
        <f t="shared" si="4"/>
        <v>0</v>
      </c>
      <c r="F67" s="75">
        <f t="shared" si="0"/>
        <v>0</v>
      </c>
      <c r="G67" s="27">
        <f t="shared" si="6"/>
        <v>0</v>
      </c>
    </row>
    <row r="68" spans="1:7" ht="15.6">
      <c r="A68" s="71" t="str">
        <f t="shared" si="5"/>
        <v>超出期限</v>
      </c>
      <c r="B68" s="72" t="str">
        <f t="shared" si="1"/>
        <v>超出期限</v>
      </c>
      <c r="C68" s="73">
        <f t="shared" si="2"/>
        <v>0</v>
      </c>
      <c r="D68" s="73">
        <f t="shared" si="3"/>
        <v>0</v>
      </c>
      <c r="E68" s="74">
        <f t="shared" si="4"/>
        <v>0</v>
      </c>
      <c r="F68" s="75">
        <f t="shared" si="0"/>
        <v>0</v>
      </c>
      <c r="G68" s="27">
        <f t="shared" si="6"/>
        <v>0</v>
      </c>
    </row>
    <row r="69" spans="1:7" ht="15.6">
      <c r="A69" s="71" t="str">
        <f t="shared" si="5"/>
        <v>超出期限</v>
      </c>
      <c r="B69" s="72" t="str">
        <f t="shared" si="1"/>
        <v>超出期限</v>
      </c>
      <c r="C69" s="73">
        <f t="shared" si="2"/>
        <v>0</v>
      </c>
      <c r="D69" s="73">
        <f t="shared" si="3"/>
        <v>0</v>
      </c>
      <c r="E69" s="74">
        <f t="shared" si="4"/>
        <v>0</v>
      </c>
      <c r="F69" s="75">
        <f t="shared" si="0"/>
        <v>0</v>
      </c>
      <c r="G69" s="27">
        <f t="shared" si="6"/>
        <v>0</v>
      </c>
    </row>
    <row r="70" spans="1:7" ht="15.6">
      <c r="A70" s="71" t="str">
        <f t="shared" si="5"/>
        <v>超出期限</v>
      </c>
      <c r="B70" s="72" t="str">
        <f t="shared" si="1"/>
        <v>超出期限</v>
      </c>
      <c r="C70" s="73">
        <f t="shared" si="2"/>
        <v>0</v>
      </c>
      <c r="D70" s="73">
        <f t="shared" si="3"/>
        <v>0</v>
      </c>
      <c r="E70" s="74">
        <f t="shared" si="4"/>
        <v>0</v>
      </c>
      <c r="F70" s="75">
        <f t="shared" si="0"/>
        <v>0</v>
      </c>
      <c r="G70" s="27">
        <f t="shared" si="6"/>
        <v>0</v>
      </c>
    </row>
    <row r="71" spans="1:7" ht="15.6">
      <c r="A71" s="71" t="str">
        <f t="shared" si="5"/>
        <v>超出期限</v>
      </c>
      <c r="B71" s="72" t="str">
        <f t="shared" si="1"/>
        <v>超出期限</v>
      </c>
      <c r="C71" s="73">
        <f t="shared" si="2"/>
        <v>0</v>
      </c>
      <c r="D71" s="73">
        <f t="shared" si="3"/>
        <v>0</v>
      </c>
      <c r="E71" s="74">
        <f t="shared" si="4"/>
        <v>0</v>
      </c>
      <c r="F71" s="75">
        <f t="shared" si="0"/>
        <v>0</v>
      </c>
      <c r="G71" s="27">
        <f t="shared" si="6"/>
        <v>0</v>
      </c>
    </row>
    <row r="72" spans="1:7" ht="15.6">
      <c r="A72" s="71" t="str">
        <f t="shared" si="5"/>
        <v>超出期限</v>
      </c>
      <c r="B72" s="72" t="str">
        <f t="shared" si="1"/>
        <v>超出期限</v>
      </c>
      <c r="C72" s="73">
        <f t="shared" si="2"/>
        <v>0</v>
      </c>
      <c r="D72" s="73">
        <f t="shared" si="3"/>
        <v>0</v>
      </c>
      <c r="E72" s="74">
        <f t="shared" si="4"/>
        <v>0</v>
      </c>
      <c r="F72" s="75">
        <f t="shared" si="0"/>
        <v>0</v>
      </c>
      <c r="G72" s="27">
        <f t="shared" si="6"/>
        <v>0</v>
      </c>
    </row>
    <row r="73" spans="1:7" ht="15.6">
      <c r="A73" s="71" t="str">
        <f t="shared" si="5"/>
        <v>超出期限</v>
      </c>
      <c r="B73" s="72" t="str">
        <f t="shared" si="1"/>
        <v>超出期限</v>
      </c>
      <c r="C73" s="73">
        <f t="shared" si="2"/>
        <v>0</v>
      </c>
      <c r="D73" s="73">
        <f t="shared" si="3"/>
        <v>0</v>
      </c>
      <c r="E73" s="74">
        <f t="shared" si="4"/>
        <v>0</v>
      </c>
      <c r="F73" s="75">
        <f t="shared" si="0"/>
        <v>0</v>
      </c>
      <c r="G73" s="27">
        <f t="shared" si="6"/>
        <v>0</v>
      </c>
    </row>
    <row r="74" spans="1:7" ht="15.6">
      <c r="A74" s="71" t="str">
        <f t="shared" si="5"/>
        <v>超出期限</v>
      </c>
      <c r="B74" s="72" t="str">
        <f t="shared" si="1"/>
        <v>超出期限</v>
      </c>
      <c r="C74" s="73">
        <f t="shared" si="2"/>
        <v>0</v>
      </c>
      <c r="D74" s="73">
        <f t="shared" si="3"/>
        <v>0</v>
      </c>
      <c r="E74" s="74">
        <f t="shared" si="4"/>
        <v>0</v>
      </c>
      <c r="F74" s="75">
        <f t="shared" si="0"/>
        <v>0</v>
      </c>
      <c r="G74" s="27">
        <f t="shared" si="6"/>
        <v>0</v>
      </c>
    </row>
    <row r="75" spans="1:7" ht="15.6">
      <c r="A75" s="71" t="str">
        <f t="shared" si="5"/>
        <v>超出期限</v>
      </c>
      <c r="B75" s="72" t="str">
        <f t="shared" si="1"/>
        <v>超出期限</v>
      </c>
      <c r="C75" s="73">
        <f t="shared" si="2"/>
        <v>0</v>
      </c>
      <c r="D75" s="73">
        <f t="shared" si="3"/>
        <v>0</v>
      </c>
      <c r="E75" s="74">
        <f t="shared" si="4"/>
        <v>0</v>
      </c>
      <c r="F75" s="75">
        <f t="shared" si="0"/>
        <v>0</v>
      </c>
      <c r="G75" s="27">
        <f t="shared" si="6"/>
        <v>0</v>
      </c>
    </row>
    <row r="76" spans="1:7" ht="15.6">
      <c r="A76" s="71" t="str">
        <f t="shared" si="5"/>
        <v>超出期限</v>
      </c>
      <c r="B76" s="72" t="str">
        <f t="shared" si="1"/>
        <v>超出期限</v>
      </c>
      <c r="C76" s="73">
        <f t="shared" si="2"/>
        <v>0</v>
      </c>
      <c r="D76" s="73">
        <f t="shared" si="3"/>
        <v>0</v>
      </c>
      <c r="E76" s="74">
        <f t="shared" si="4"/>
        <v>0</v>
      </c>
      <c r="F76" s="75">
        <f t="shared" si="0"/>
        <v>0</v>
      </c>
      <c r="G76" s="27">
        <f t="shared" si="6"/>
        <v>0</v>
      </c>
    </row>
    <row r="77" spans="1:7" ht="15.6">
      <c r="A77" s="71" t="str">
        <f t="shared" si="5"/>
        <v>超出期限</v>
      </c>
      <c r="B77" s="72" t="str">
        <f t="shared" si="1"/>
        <v>超出期限</v>
      </c>
      <c r="C77" s="73">
        <f t="shared" si="2"/>
        <v>0</v>
      </c>
      <c r="D77" s="73">
        <f t="shared" si="3"/>
        <v>0</v>
      </c>
      <c r="E77" s="74">
        <f t="shared" si="4"/>
        <v>0</v>
      </c>
      <c r="F77" s="75">
        <f t="shared" si="0"/>
        <v>0</v>
      </c>
      <c r="G77" s="27">
        <f t="shared" si="6"/>
        <v>0</v>
      </c>
    </row>
    <row r="78" spans="1:7" ht="15.6">
      <c r="A78" s="71" t="str">
        <f t="shared" si="5"/>
        <v>超出期限</v>
      </c>
      <c r="B78" s="72" t="str">
        <f t="shared" si="1"/>
        <v>超出期限</v>
      </c>
      <c r="C78" s="73">
        <f t="shared" si="2"/>
        <v>0</v>
      </c>
      <c r="D78" s="73">
        <f t="shared" si="3"/>
        <v>0</v>
      </c>
      <c r="E78" s="74">
        <f t="shared" si="4"/>
        <v>0</v>
      </c>
      <c r="F78" s="75">
        <f t="shared" si="0"/>
        <v>0</v>
      </c>
      <c r="G78" s="27">
        <f t="shared" si="6"/>
        <v>0</v>
      </c>
    </row>
    <row r="79" spans="1:7" ht="15.6">
      <c r="A79" s="71" t="str">
        <f t="shared" si="5"/>
        <v>超出期限</v>
      </c>
      <c r="B79" s="72" t="str">
        <f t="shared" si="1"/>
        <v>超出期限</v>
      </c>
      <c r="C79" s="73">
        <f t="shared" si="2"/>
        <v>0</v>
      </c>
      <c r="D79" s="73">
        <f t="shared" si="3"/>
        <v>0</v>
      </c>
      <c r="E79" s="74">
        <f t="shared" si="4"/>
        <v>0</v>
      </c>
      <c r="F79" s="75">
        <f t="shared" si="0"/>
        <v>0</v>
      </c>
      <c r="G79" s="27">
        <f t="shared" si="6"/>
        <v>0</v>
      </c>
    </row>
    <row r="80" spans="1:7" ht="15.6">
      <c r="A80" s="71" t="str">
        <f t="shared" si="5"/>
        <v>超出期限</v>
      </c>
      <c r="B80" s="72" t="str">
        <f t="shared" si="1"/>
        <v>超出期限</v>
      </c>
      <c r="C80" s="73">
        <f t="shared" si="2"/>
        <v>0</v>
      </c>
      <c r="D80" s="73">
        <f t="shared" si="3"/>
        <v>0</v>
      </c>
      <c r="E80" s="74">
        <f t="shared" si="4"/>
        <v>0</v>
      </c>
      <c r="F80" s="75">
        <f t="shared" si="0"/>
        <v>0</v>
      </c>
      <c r="G80" s="27">
        <f t="shared" si="6"/>
        <v>0</v>
      </c>
    </row>
    <row r="81" spans="1:7" ht="15.6">
      <c r="A81" s="71" t="str">
        <f t="shared" si="5"/>
        <v>超出期限</v>
      </c>
      <c r="B81" s="72" t="str">
        <f t="shared" si="1"/>
        <v>超出期限</v>
      </c>
      <c r="C81" s="73">
        <f t="shared" si="2"/>
        <v>0</v>
      </c>
      <c r="D81" s="73">
        <f t="shared" si="3"/>
        <v>0</v>
      </c>
      <c r="E81" s="74">
        <f t="shared" si="4"/>
        <v>0</v>
      </c>
      <c r="F81" s="75">
        <f t="shared" si="0"/>
        <v>0</v>
      </c>
      <c r="G81" s="27">
        <f t="shared" si="6"/>
        <v>0</v>
      </c>
    </row>
    <row r="82" spans="1:7" ht="15.6">
      <c r="A82" s="71" t="str">
        <f t="shared" si="5"/>
        <v>超出期限</v>
      </c>
      <c r="B82" s="72" t="str">
        <f t="shared" si="1"/>
        <v>超出期限</v>
      </c>
      <c r="C82" s="73">
        <f t="shared" si="2"/>
        <v>0</v>
      </c>
      <c r="D82" s="73">
        <f t="shared" si="3"/>
        <v>0</v>
      </c>
      <c r="E82" s="74">
        <f t="shared" si="4"/>
        <v>0</v>
      </c>
      <c r="F82" s="75">
        <f t="shared" si="0"/>
        <v>0</v>
      </c>
      <c r="G82" s="27">
        <f t="shared" si="6"/>
        <v>0</v>
      </c>
    </row>
    <row r="83" spans="1:7" ht="15.6">
      <c r="A83" s="71" t="str">
        <f t="shared" si="5"/>
        <v>超出期限</v>
      </c>
      <c r="B83" s="72" t="str">
        <f t="shared" si="1"/>
        <v>超出期限</v>
      </c>
      <c r="C83" s="73">
        <f t="shared" si="2"/>
        <v>0</v>
      </c>
      <c r="D83" s="73">
        <f t="shared" si="3"/>
        <v>0</v>
      </c>
      <c r="E83" s="74">
        <f t="shared" si="4"/>
        <v>0</v>
      </c>
      <c r="F83" s="75">
        <f t="shared" si="0"/>
        <v>0</v>
      </c>
      <c r="G83" s="27">
        <f t="shared" si="6"/>
        <v>0</v>
      </c>
    </row>
    <row r="84" spans="1:7" ht="15.6">
      <c r="A84" s="71" t="str">
        <f t="shared" si="5"/>
        <v>超出期限</v>
      </c>
      <c r="B84" s="72" t="str">
        <f t="shared" si="1"/>
        <v>超出期限</v>
      </c>
      <c r="C84" s="73">
        <f t="shared" si="2"/>
        <v>0</v>
      </c>
      <c r="D84" s="73">
        <f t="shared" si="3"/>
        <v>0</v>
      </c>
      <c r="E84" s="74">
        <f t="shared" si="4"/>
        <v>0</v>
      </c>
      <c r="F84" s="75">
        <f t="shared" si="0"/>
        <v>0</v>
      </c>
      <c r="G84" s="27">
        <f t="shared" si="6"/>
        <v>0</v>
      </c>
    </row>
  </sheetData>
  <mergeCells count="1">
    <mergeCell ref="A1:B1"/>
  </mergeCells>
  <phoneticPr fontId="28" type="noConversion"/>
  <dataValidations count="1">
    <dataValidation type="list" allowBlank="1" showInputMessage="1" showErrorMessage="1" sqref="B14">
      <formula1>"A,B,C,D,E"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85" zoomScaleNormal="85" zoomScalePageLayoutView="85" workbookViewId="0">
      <selection activeCell="G9" sqref="G9"/>
    </sheetView>
  </sheetViews>
  <sheetFormatPr defaultColWidth="9" defaultRowHeight="13.8"/>
  <cols>
    <col min="1" max="1" width="25.6640625" style="30" customWidth="1"/>
    <col min="2" max="2" width="13.6640625" style="30" customWidth="1"/>
    <col min="3" max="3" width="13.109375" style="30" customWidth="1"/>
    <col min="4" max="7" width="25.6640625" style="30" customWidth="1"/>
    <col min="8" max="8" width="40.109375" style="30" customWidth="1"/>
    <col min="9" max="9" width="40" style="30" customWidth="1"/>
    <col min="10" max="10" width="9.6640625" style="30" customWidth="1"/>
    <col min="11" max="11" width="27" customWidth="1"/>
    <col min="13" max="13" width="40" customWidth="1"/>
  </cols>
  <sheetData>
    <row r="1" spans="1:15" ht="15.6">
      <c r="A1" s="151" t="s">
        <v>0</v>
      </c>
      <c r="B1" s="152"/>
      <c r="C1" s="11"/>
      <c r="E1" s="32"/>
      <c r="F1" s="32"/>
      <c r="G1" s="32"/>
      <c r="H1" s="32"/>
      <c r="I1" s="32"/>
      <c r="J1" s="32"/>
      <c r="K1" s="32"/>
      <c r="L1" s="32"/>
      <c r="O1" s="32"/>
    </row>
    <row r="2" spans="1:15" ht="15">
      <c r="A2" s="82" t="s">
        <v>2</v>
      </c>
      <c r="B2" s="15" t="s">
        <v>3</v>
      </c>
      <c r="C2" s="11"/>
      <c r="E2" s="32"/>
      <c r="F2" s="32"/>
      <c r="G2" s="32"/>
      <c r="H2" s="32"/>
      <c r="I2" s="32"/>
      <c r="J2" s="32"/>
      <c r="K2" s="32"/>
      <c r="L2" s="32"/>
      <c r="O2" s="32"/>
    </row>
    <row r="3" spans="1:15" ht="15.6">
      <c r="A3" s="83" t="s">
        <v>8</v>
      </c>
      <c r="B3" s="84">
        <v>10000</v>
      </c>
      <c r="C3" s="85" t="s">
        <v>69</v>
      </c>
      <c r="E3" s="32"/>
      <c r="F3" s="32"/>
      <c r="G3" s="32"/>
      <c r="H3" s="32"/>
      <c r="I3" s="32"/>
      <c r="J3" s="32"/>
      <c r="K3" s="32"/>
      <c r="L3" s="32"/>
      <c r="O3" s="32"/>
    </row>
    <row r="4" spans="1:15" ht="15.6">
      <c r="A4" s="83" t="s">
        <v>11</v>
      </c>
      <c r="B4" s="24">
        <v>12</v>
      </c>
      <c r="C4" s="85" t="s">
        <v>70</v>
      </c>
      <c r="E4" s="32"/>
      <c r="F4" s="32"/>
      <c r="G4" s="32"/>
      <c r="H4" s="32"/>
      <c r="I4" s="32"/>
      <c r="J4" s="32"/>
      <c r="K4" s="32"/>
      <c r="L4" s="32"/>
      <c r="O4" s="32"/>
    </row>
    <row r="5" spans="1:15" ht="15.6">
      <c r="A5" s="83" t="s">
        <v>14</v>
      </c>
      <c r="B5" s="28">
        <f>VLOOKUP(B4&amp;B15,合同年利率!J:K,2,0)</f>
        <v>0.10250000000000001</v>
      </c>
      <c r="C5" s="85" t="s">
        <v>71</v>
      </c>
      <c r="D5" s="86"/>
      <c r="E5" s="32"/>
      <c r="F5" s="32"/>
      <c r="G5" s="32"/>
      <c r="H5" s="32"/>
      <c r="I5" s="32"/>
      <c r="J5" s="32"/>
      <c r="K5" s="32"/>
      <c r="L5" s="32"/>
      <c r="O5" s="32"/>
    </row>
    <row r="6" spans="1:15" ht="15.6">
      <c r="A6" s="40" t="s">
        <v>18</v>
      </c>
      <c r="B6" s="29">
        <f>(1+B5)^(1/12)-1</f>
        <v>8.1648460519010424E-3</v>
      </c>
      <c r="C6" s="87"/>
      <c r="D6" s="88"/>
      <c r="E6" s="32"/>
      <c r="F6" s="32"/>
      <c r="G6" s="32"/>
      <c r="H6" s="32"/>
      <c r="I6" s="32"/>
      <c r="J6" s="32"/>
      <c r="K6" s="32"/>
      <c r="L6" s="32"/>
      <c r="O6" s="32"/>
    </row>
    <row r="7" spans="1:15" ht="15.6">
      <c r="A7" s="40" t="s">
        <v>19</v>
      </c>
      <c r="B7" s="29">
        <v>3.0000000000000001E-3</v>
      </c>
      <c r="C7" s="85"/>
      <c r="E7" s="32"/>
      <c r="F7" s="32"/>
      <c r="G7" s="32"/>
      <c r="H7" s="32"/>
      <c r="I7" s="32"/>
      <c r="J7" s="32"/>
      <c r="K7" s="32"/>
      <c r="L7" s="32"/>
      <c r="O7" s="32"/>
    </row>
    <row r="8" spans="1:15" ht="15.6">
      <c r="A8" s="40" t="s">
        <v>72</v>
      </c>
      <c r="B8" s="89">
        <v>0</v>
      </c>
      <c r="C8" s="85" t="s">
        <v>73</v>
      </c>
      <c r="E8" s="32"/>
      <c r="F8" s="32"/>
      <c r="G8" s="32"/>
      <c r="H8" s="32"/>
      <c r="I8" s="32"/>
      <c r="J8" s="32"/>
      <c r="K8" s="32"/>
      <c r="L8" s="32"/>
      <c r="N8" s="32"/>
    </row>
    <row r="9" spans="1:15" ht="15.6">
      <c r="A9" s="83" t="s">
        <v>21</v>
      </c>
      <c r="B9" s="33">
        <f>VLOOKUP(B4&amp;B15,最新定价!I3:L36,4,0)</f>
        <v>0.2485</v>
      </c>
      <c r="C9" s="85" t="s">
        <v>73</v>
      </c>
      <c r="D9" s="90"/>
      <c r="E9" s="32"/>
      <c r="F9" s="32"/>
      <c r="G9" s="32"/>
      <c r="H9" s="32"/>
      <c r="I9" s="32"/>
      <c r="J9" s="32"/>
      <c r="K9" s="32"/>
      <c r="L9" s="32"/>
      <c r="N9" s="32"/>
    </row>
    <row r="10" spans="1:15" ht="15.6">
      <c r="A10" s="83" t="s">
        <v>23</v>
      </c>
      <c r="B10" s="33">
        <f>VLOOKUP(B4&amp;B15,最新定价!I3:L36,2,0)</f>
        <v>4.19E-2</v>
      </c>
      <c r="C10" s="85" t="s">
        <v>73</v>
      </c>
      <c r="E10" s="32"/>
      <c r="F10" s="32"/>
      <c r="G10" s="32"/>
      <c r="H10" s="32"/>
      <c r="I10" s="32"/>
      <c r="J10" s="32"/>
      <c r="K10" s="32"/>
      <c r="L10" s="32"/>
      <c r="N10" s="32"/>
    </row>
    <row r="11" spans="1:15" ht="15.6">
      <c r="A11" s="83" t="s">
        <v>74</v>
      </c>
      <c r="B11" s="37">
        <v>0</v>
      </c>
      <c r="C11" s="85" t="s">
        <v>73</v>
      </c>
      <c r="E11" s="32"/>
      <c r="F11" s="32"/>
      <c r="G11" s="32"/>
      <c r="H11" s="32"/>
      <c r="I11" s="32"/>
      <c r="J11" s="32"/>
      <c r="K11" s="32"/>
      <c r="L11" s="32"/>
      <c r="N11" s="61"/>
    </row>
    <row r="12" spans="1:15" ht="15.6">
      <c r="A12" s="39" t="s">
        <v>75</v>
      </c>
      <c r="B12" s="91">
        <f>VLOOKUP(B4&amp;B15,最新定价!I3:L36,3,0)</f>
        <v>5.8999999999999997E-2</v>
      </c>
      <c r="C12" s="85" t="s">
        <v>73</v>
      </c>
      <c r="E12" s="32"/>
      <c r="F12" s="32"/>
      <c r="G12" s="32"/>
      <c r="H12" s="32"/>
      <c r="I12" s="32"/>
      <c r="J12" s="32"/>
      <c r="K12" s="32"/>
      <c r="L12" s="32"/>
      <c r="N12" s="61"/>
    </row>
    <row r="13" spans="1:15" ht="15">
      <c r="A13" s="40" t="s">
        <v>33</v>
      </c>
      <c r="B13" s="41">
        <v>43131</v>
      </c>
      <c r="E13" s="92"/>
      <c r="F13" s="93"/>
      <c r="G13" s="94"/>
      <c r="H13" s="95"/>
      <c r="I13" s="36"/>
      <c r="J13" s="36"/>
      <c r="K13" s="32"/>
      <c r="L13" s="32"/>
      <c r="O13" s="61"/>
    </row>
    <row r="14" spans="1:15" ht="15">
      <c r="A14" s="40" t="s">
        <v>34</v>
      </c>
      <c r="B14" s="41">
        <f>EDATE(B13,1)</f>
        <v>43159</v>
      </c>
      <c r="C14" s="32"/>
      <c r="D14" s="32"/>
      <c r="E14" s="92"/>
      <c r="F14" s="32"/>
      <c r="G14" s="32"/>
      <c r="H14" s="32"/>
      <c r="I14" s="32"/>
      <c r="J14" s="32"/>
      <c r="K14" s="61"/>
    </row>
    <row r="15" spans="1:15" ht="15.6">
      <c r="A15" s="42" t="s">
        <v>36</v>
      </c>
      <c r="B15" s="43" t="s">
        <v>37</v>
      </c>
      <c r="C15" s="32"/>
      <c r="D15" s="32"/>
      <c r="E15" s="92"/>
      <c r="F15" s="32"/>
      <c r="G15" s="32"/>
      <c r="H15" s="32"/>
      <c r="I15" s="61"/>
      <c r="J15"/>
    </row>
    <row r="16" spans="1:15" ht="15.6">
      <c r="A16" s="153" t="s">
        <v>39</v>
      </c>
      <c r="B16" s="154"/>
      <c r="C16" s="32"/>
      <c r="D16" s="32"/>
      <c r="E16" s="92"/>
      <c r="F16" s="32"/>
      <c r="G16" s="32"/>
      <c r="H16" s="32"/>
      <c r="I16" s="61"/>
      <c r="J16"/>
    </row>
    <row r="17" spans="1:11" ht="15.6">
      <c r="A17" s="51" t="s">
        <v>43</v>
      </c>
      <c r="B17" s="52">
        <f>B3</f>
        <v>10000</v>
      </c>
      <c r="C17" s="32"/>
      <c r="D17" s="32"/>
      <c r="E17" s="32"/>
      <c r="F17" s="32"/>
      <c r="G17" s="65"/>
      <c r="H17" s="32"/>
      <c r="I17" s="32"/>
      <c r="J17" s="32"/>
      <c r="K17" s="61"/>
    </row>
    <row r="18" spans="1:11" ht="15">
      <c r="A18" s="51" t="s">
        <v>45</v>
      </c>
      <c r="B18" s="53">
        <f>ROUND(PMT(B6,B4,-B17),2)</f>
        <v>878.22</v>
      </c>
      <c r="C18" s="32"/>
      <c r="D18" s="32"/>
      <c r="E18" s="32"/>
      <c r="F18" s="32"/>
      <c r="G18" s="96"/>
      <c r="H18" s="32"/>
      <c r="I18" s="32"/>
      <c r="J18" s="32"/>
      <c r="K18" s="61"/>
    </row>
    <row r="19" spans="1:11" ht="15">
      <c r="A19" s="51" t="s">
        <v>57</v>
      </c>
      <c r="B19" s="53">
        <f>B3+B8</f>
        <v>10000</v>
      </c>
      <c r="C19" s="32"/>
      <c r="D19" s="97"/>
      <c r="E19" s="65"/>
      <c r="F19" s="65"/>
      <c r="G19" s="32"/>
      <c r="H19" s="65"/>
      <c r="I19" s="61"/>
      <c r="J19" s="61"/>
      <c r="K19" s="61"/>
    </row>
    <row r="20" spans="1:11" ht="15.6">
      <c r="A20" s="69" t="s">
        <v>61</v>
      </c>
      <c r="B20" s="68"/>
      <c r="C20" s="32"/>
      <c r="D20" s="65"/>
      <c r="E20" s="32"/>
      <c r="F20" s="32"/>
      <c r="G20" s="32"/>
      <c r="H20" s="32"/>
      <c r="I20" s="32"/>
      <c r="J20" s="32"/>
      <c r="K20" s="32"/>
    </row>
    <row r="21" spans="1:11" ht="15.6">
      <c r="A21" s="69"/>
      <c r="B21" s="68"/>
      <c r="C21" s="58"/>
      <c r="D21" s="58"/>
      <c r="E21" s="58"/>
      <c r="F21" s="67"/>
      <c r="G21" s="32"/>
      <c r="H21" s="32"/>
      <c r="I21" s="32"/>
      <c r="J21" s="32"/>
      <c r="K21" s="32"/>
    </row>
    <row r="22" spans="1:11" ht="15.6">
      <c r="A22" s="70" t="s">
        <v>62</v>
      </c>
      <c r="B22" s="70" t="s">
        <v>63</v>
      </c>
      <c r="C22" s="70" t="s">
        <v>64</v>
      </c>
      <c r="D22" s="70" t="s">
        <v>65</v>
      </c>
      <c r="E22" s="70" t="s">
        <v>66</v>
      </c>
      <c r="F22" s="70" t="s">
        <v>67</v>
      </c>
      <c r="G22" s="70" t="s">
        <v>68</v>
      </c>
      <c r="H22" s="32"/>
      <c r="I22" s="32"/>
      <c r="J22" s="32"/>
      <c r="K22" s="32"/>
    </row>
    <row r="23" spans="1:11" ht="15.6">
      <c r="A23" s="71">
        <v>1</v>
      </c>
      <c r="B23" s="72">
        <f>IF(A23="超出期限","超出期限",EDATE($B$13,A23))</f>
        <v>43159</v>
      </c>
      <c r="C23" s="73">
        <f>IF(A23&gt;$B$4,0,IF(A23=$B$4,D23+E23,$B$18))</f>
        <v>878.22</v>
      </c>
      <c r="D23" s="73">
        <f>B17</f>
        <v>10000</v>
      </c>
      <c r="E23" s="74">
        <f>ROUND(IF(A23="超出期限",0,D23*$B$6),2)</f>
        <v>81.650000000000006</v>
      </c>
      <c r="F23" s="75">
        <f>IF(A23="超出期限",0,IF(A23=$B$4,D23,C23-E23))</f>
        <v>796.57</v>
      </c>
      <c r="G23" s="27">
        <f>E23+D23</f>
        <v>10081.65</v>
      </c>
      <c r="H23" s="32"/>
      <c r="I23" s="32"/>
      <c r="J23" s="32"/>
      <c r="K23" s="32"/>
    </row>
    <row r="24" spans="1:11" ht="15.6">
      <c r="A24" s="71">
        <f>IF(A23&lt;$B$4,A23+1,"超出期限")</f>
        <v>2</v>
      </c>
      <c r="B24" s="72">
        <f t="shared" ref="B24:B64" si="0">IF(A24="超出期限","超出期限",EDATE($B$13,A24))</f>
        <v>43190</v>
      </c>
      <c r="C24" s="73">
        <f t="shared" ref="C24:C64" si="1">IF(A24&gt;$B$4,0,IF(A24=$B$4,D24+E24,$B$18))</f>
        <v>878.22</v>
      </c>
      <c r="D24" s="73">
        <f t="shared" ref="D24:D33" si="2">IF(A24="超出期限",0,D23-F23)</f>
        <v>9203.43</v>
      </c>
      <c r="E24" s="74">
        <f t="shared" ref="E24:E64" si="3">ROUND(IF(A24="超出期限",0,D24*$B$6),2)</f>
        <v>75.14</v>
      </c>
      <c r="F24" s="75">
        <f t="shared" ref="F24:F33" si="4">IF(A24="超出期限",0,IF(A24=$B$4,D24,C24-E24))</f>
        <v>803.08</v>
      </c>
      <c r="G24" s="27">
        <f>E24+D24</f>
        <v>9278.57</v>
      </c>
      <c r="H24" s="32"/>
      <c r="I24" s="32"/>
      <c r="J24" s="32"/>
      <c r="K24" s="32"/>
    </row>
    <row r="25" spans="1:11" ht="15.6">
      <c r="A25" s="71">
        <f t="shared" ref="A25:A33" si="5">IF(A24&lt;$B$4,A24+1,"超出期限")</f>
        <v>3</v>
      </c>
      <c r="B25" s="72">
        <f t="shared" si="0"/>
        <v>43220</v>
      </c>
      <c r="C25" s="73">
        <f t="shared" si="1"/>
        <v>878.22</v>
      </c>
      <c r="D25" s="73">
        <f t="shared" si="2"/>
        <v>8400.35</v>
      </c>
      <c r="E25" s="74">
        <f t="shared" si="3"/>
        <v>68.59</v>
      </c>
      <c r="F25" s="75">
        <f t="shared" si="4"/>
        <v>809.63</v>
      </c>
      <c r="G25" s="27">
        <f t="shared" ref="G25:G33" si="6">E25+D25</f>
        <v>8468.94</v>
      </c>
      <c r="H25" s="32"/>
      <c r="I25" s="32"/>
      <c r="J25" s="32"/>
      <c r="K25" s="32"/>
    </row>
    <row r="26" spans="1:11" ht="15.6">
      <c r="A26" s="71">
        <f t="shared" si="5"/>
        <v>4</v>
      </c>
      <c r="B26" s="72">
        <f t="shared" si="0"/>
        <v>43251</v>
      </c>
      <c r="C26" s="73">
        <f t="shared" si="1"/>
        <v>878.22</v>
      </c>
      <c r="D26" s="73">
        <f t="shared" si="2"/>
        <v>7590.72</v>
      </c>
      <c r="E26" s="74">
        <f t="shared" si="3"/>
        <v>61.98</v>
      </c>
      <c r="F26" s="75">
        <f t="shared" si="4"/>
        <v>816.24</v>
      </c>
      <c r="G26" s="27">
        <f t="shared" si="6"/>
        <v>7652.7</v>
      </c>
      <c r="H26" s="32"/>
      <c r="I26" s="32"/>
      <c r="J26" s="32"/>
      <c r="K26" s="32"/>
    </row>
    <row r="27" spans="1:11" ht="15.6">
      <c r="A27" s="71">
        <f t="shared" si="5"/>
        <v>5</v>
      </c>
      <c r="B27" s="72">
        <f t="shared" si="0"/>
        <v>43281</v>
      </c>
      <c r="C27" s="73">
        <f t="shared" si="1"/>
        <v>878.22</v>
      </c>
      <c r="D27" s="73">
        <f t="shared" si="2"/>
        <v>6774.4800000000005</v>
      </c>
      <c r="E27" s="74">
        <f t="shared" si="3"/>
        <v>55.31</v>
      </c>
      <c r="F27" s="75">
        <f t="shared" si="4"/>
        <v>822.91000000000008</v>
      </c>
      <c r="G27" s="27">
        <f t="shared" si="6"/>
        <v>6829.7900000000009</v>
      </c>
      <c r="H27" s="98"/>
      <c r="I27" s="32"/>
      <c r="J27" s="32"/>
      <c r="K27" s="32"/>
    </row>
    <row r="28" spans="1:11" ht="15.6">
      <c r="A28" s="71">
        <f t="shared" si="5"/>
        <v>6</v>
      </c>
      <c r="B28" s="72">
        <f t="shared" si="0"/>
        <v>43312</v>
      </c>
      <c r="C28" s="73">
        <f t="shared" si="1"/>
        <v>878.22</v>
      </c>
      <c r="D28" s="73">
        <f t="shared" si="2"/>
        <v>5951.5700000000006</v>
      </c>
      <c r="E28" s="74">
        <f t="shared" si="3"/>
        <v>48.59</v>
      </c>
      <c r="F28" s="75">
        <f t="shared" si="4"/>
        <v>829.63</v>
      </c>
      <c r="G28" s="27">
        <f t="shared" si="6"/>
        <v>6000.1600000000008</v>
      </c>
      <c r="H28" s="98"/>
      <c r="I28" s="32"/>
      <c r="J28" s="32"/>
      <c r="K28" s="32"/>
    </row>
    <row r="29" spans="1:11" ht="15.6">
      <c r="A29" s="71">
        <f t="shared" si="5"/>
        <v>7</v>
      </c>
      <c r="B29" s="72">
        <f t="shared" si="0"/>
        <v>43343</v>
      </c>
      <c r="C29" s="73">
        <f t="shared" si="1"/>
        <v>878.22</v>
      </c>
      <c r="D29" s="73">
        <f t="shared" si="2"/>
        <v>5121.9400000000005</v>
      </c>
      <c r="E29" s="74">
        <f t="shared" si="3"/>
        <v>41.82</v>
      </c>
      <c r="F29" s="75">
        <f t="shared" si="4"/>
        <v>836.4</v>
      </c>
      <c r="G29" s="27">
        <f t="shared" si="6"/>
        <v>5163.76</v>
      </c>
      <c r="H29" s="98"/>
      <c r="I29" s="32"/>
      <c r="J29" s="32"/>
      <c r="K29" s="32"/>
    </row>
    <row r="30" spans="1:11" ht="15.6">
      <c r="A30" s="71">
        <f t="shared" si="5"/>
        <v>8</v>
      </c>
      <c r="B30" s="72">
        <f t="shared" si="0"/>
        <v>43373</v>
      </c>
      <c r="C30" s="73">
        <f t="shared" si="1"/>
        <v>878.22</v>
      </c>
      <c r="D30" s="73">
        <f t="shared" si="2"/>
        <v>4285.5400000000009</v>
      </c>
      <c r="E30" s="74">
        <f t="shared" si="3"/>
        <v>34.99</v>
      </c>
      <c r="F30" s="75">
        <f t="shared" si="4"/>
        <v>843.23</v>
      </c>
      <c r="G30" s="27">
        <f t="shared" si="6"/>
        <v>4320.5300000000007</v>
      </c>
      <c r="H30" s="98"/>
      <c r="I30" s="32"/>
      <c r="J30" s="32"/>
      <c r="K30" s="32"/>
    </row>
    <row r="31" spans="1:11" ht="15.6">
      <c r="A31" s="71">
        <f t="shared" si="5"/>
        <v>9</v>
      </c>
      <c r="B31" s="72">
        <f t="shared" si="0"/>
        <v>43404</v>
      </c>
      <c r="C31" s="73">
        <f t="shared" si="1"/>
        <v>878.22</v>
      </c>
      <c r="D31" s="73">
        <f t="shared" si="2"/>
        <v>3442.3100000000009</v>
      </c>
      <c r="E31" s="74">
        <f t="shared" si="3"/>
        <v>28.11</v>
      </c>
      <c r="F31" s="75">
        <f t="shared" si="4"/>
        <v>850.11</v>
      </c>
      <c r="G31" s="27">
        <f t="shared" si="6"/>
        <v>3470.420000000001</v>
      </c>
      <c r="H31" s="98"/>
      <c r="I31" s="32"/>
      <c r="J31" s="32"/>
      <c r="K31" s="32"/>
    </row>
    <row r="32" spans="1:11" ht="15.6">
      <c r="A32" s="71">
        <f t="shared" si="5"/>
        <v>10</v>
      </c>
      <c r="B32" s="72">
        <f t="shared" si="0"/>
        <v>43434</v>
      </c>
      <c r="C32" s="73">
        <f t="shared" si="1"/>
        <v>878.22</v>
      </c>
      <c r="D32" s="73">
        <f t="shared" si="2"/>
        <v>2592.2000000000007</v>
      </c>
      <c r="E32" s="74">
        <f t="shared" si="3"/>
        <v>21.16</v>
      </c>
      <c r="F32" s="75">
        <f t="shared" si="4"/>
        <v>857.06000000000006</v>
      </c>
      <c r="G32" s="27">
        <f t="shared" si="6"/>
        <v>2613.3600000000006</v>
      </c>
      <c r="H32" s="98"/>
      <c r="I32" s="32"/>
      <c r="J32" s="32"/>
      <c r="K32" s="32"/>
    </row>
    <row r="33" spans="1:11" ht="15.6">
      <c r="A33" s="71">
        <f t="shared" si="5"/>
        <v>11</v>
      </c>
      <c r="B33" s="72">
        <f t="shared" si="0"/>
        <v>43465</v>
      </c>
      <c r="C33" s="73">
        <f t="shared" si="1"/>
        <v>878.22</v>
      </c>
      <c r="D33" s="73">
        <f t="shared" si="2"/>
        <v>1735.1400000000008</v>
      </c>
      <c r="E33" s="74">
        <f t="shared" si="3"/>
        <v>14.17</v>
      </c>
      <c r="F33" s="75">
        <f t="shared" si="4"/>
        <v>864.05000000000007</v>
      </c>
      <c r="G33" s="27">
        <f t="shared" si="6"/>
        <v>1749.3100000000009</v>
      </c>
      <c r="H33" s="98"/>
      <c r="I33" s="32"/>
      <c r="J33" s="32"/>
      <c r="K33" s="32"/>
    </row>
    <row r="34" spans="1:11" ht="15.6">
      <c r="A34" s="71">
        <f t="shared" ref="A34:A64" si="7">IF(A33&lt;$B$4,A33+1,"超出期限")</f>
        <v>12</v>
      </c>
      <c r="B34" s="72">
        <f t="shared" si="0"/>
        <v>43496</v>
      </c>
      <c r="C34" s="73">
        <f t="shared" si="1"/>
        <v>878.20000000000073</v>
      </c>
      <c r="D34" s="73">
        <f t="shared" ref="D34:D52" si="8">IF(A34="超出期限",0,D33-F33)</f>
        <v>871.09000000000071</v>
      </c>
      <c r="E34" s="74">
        <f t="shared" si="3"/>
        <v>7.11</v>
      </c>
      <c r="F34" s="75">
        <f t="shared" ref="F34:F52" si="9">IF(A34="超出期限",0,IF(A34=$B$4,D34,C34-E34))</f>
        <v>871.09000000000071</v>
      </c>
      <c r="G34" s="27">
        <f t="shared" ref="G34:G52" si="10">E34+D34</f>
        <v>878.20000000000073</v>
      </c>
      <c r="H34" s="98"/>
      <c r="I34" s="32"/>
      <c r="J34" s="32"/>
      <c r="K34" s="32"/>
    </row>
    <row r="35" spans="1:11" ht="15.6">
      <c r="A35" s="71" t="str">
        <f t="shared" si="7"/>
        <v>超出期限</v>
      </c>
      <c r="B35" s="72" t="str">
        <f t="shared" si="0"/>
        <v>超出期限</v>
      </c>
      <c r="C35" s="73">
        <f t="shared" si="1"/>
        <v>0</v>
      </c>
      <c r="D35" s="73">
        <f t="shared" si="8"/>
        <v>0</v>
      </c>
      <c r="E35" s="74">
        <f t="shared" si="3"/>
        <v>0</v>
      </c>
      <c r="F35" s="75">
        <f t="shared" si="9"/>
        <v>0</v>
      </c>
      <c r="G35" s="27">
        <f t="shared" si="10"/>
        <v>0</v>
      </c>
      <c r="H35" s="98"/>
      <c r="I35" s="32"/>
      <c r="J35" s="32"/>
      <c r="K35" s="32"/>
    </row>
    <row r="36" spans="1:11" ht="15.6">
      <c r="A36" s="71" t="str">
        <f t="shared" si="7"/>
        <v>超出期限</v>
      </c>
      <c r="B36" s="72" t="str">
        <f t="shared" si="0"/>
        <v>超出期限</v>
      </c>
      <c r="C36" s="73">
        <f t="shared" si="1"/>
        <v>0</v>
      </c>
      <c r="D36" s="73">
        <f t="shared" si="8"/>
        <v>0</v>
      </c>
      <c r="E36" s="74">
        <f t="shared" si="3"/>
        <v>0</v>
      </c>
      <c r="F36" s="75">
        <f t="shared" si="9"/>
        <v>0</v>
      </c>
      <c r="G36" s="27">
        <f t="shared" si="10"/>
        <v>0</v>
      </c>
      <c r="H36" s="98"/>
      <c r="I36" s="32"/>
      <c r="J36" s="32"/>
      <c r="K36" s="32"/>
    </row>
    <row r="37" spans="1:11" ht="15.6">
      <c r="A37" s="71" t="str">
        <f t="shared" si="7"/>
        <v>超出期限</v>
      </c>
      <c r="B37" s="72" t="str">
        <f t="shared" si="0"/>
        <v>超出期限</v>
      </c>
      <c r="C37" s="73">
        <f t="shared" si="1"/>
        <v>0</v>
      </c>
      <c r="D37" s="73">
        <f t="shared" si="8"/>
        <v>0</v>
      </c>
      <c r="E37" s="74">
        <f t="shared" si="3"/>
        <v>0</v>
      </c>
      <c r="F37" s="75">
        <f t="shared" si="9"/>
        <v>0</v>
      </c>
      <c r="G37" s="27">
        <f t="shared" si="10"/>
        <v>0</v>
      </c>
    </row>
    <row r="38" spans="1:11" ht="15.6">
      <c r="A38" s="71" t="str">
        <f t="shared" si="7"/>
        <v>超出期限</v>
      </c>
      <c r="B38" s="72" t="str">
        <f t="shared" si="0"/>
        <v>超出期限</v>
      </c>
      <c r="C38" s="73">
        <f t="shared" si="1"/>
        <v>0</v>
      </c>
      <c r="D38" s="73">
        <f t="shared" si="8"/>
        <v>0</v>
      </c>
      <c r="E38" s="74">
        <f t="shared" si="3"/>
        <v>0</v>
      </c>
      <c r="F38" s="75">
        <f t="shared" si="9"/>
        <v>0</v>
      </c>
      <c r="G38" s="27">
        <f t="shared" si="10"/>
        <v>0</v>
      </c>
    </row>
    <row r="39" spans="1:11" ht="15.6">
      <c r="A39" s="71" t="str">
        <f t="shared" si="7"/>
        <v>超出期限</v>
      </c>
      <c r="B39" s="72" t="str">
        <f t="shared" si="0"/>
        <v>超出期限</v>
      </c>
      <c r="C39" s="73">
        <f t="shared" si="1"/>
        <v>0</v>
      </c>
      <c r="D39" s="73">
        <f t="shared" si="8"/>
        <v>0</v>
      </c>
      <c r="E39" s="74">
        <f t="shared" si="3"/>
        <v>0</v>
      </c>
      <c r="F39" s="75">
        <f t="shared" si="9"/>
        <v>0</v>
      </c>
      <c r="G39" s="27">
        <f t="shared" si="10"/>
        <v>0</v>
      </c>
    </row>
    <row r="40" spans="1:11" ht="15.6">
      <c r="A40" s="71" t="str">
        <f t="shared" si="7"/>
        <v>超出期限</v>
      </c>
      <c r="B40" s="72" t="str">
        <f t="shared" si="0"/>
        <v>超出期限</v>
      </c>
      <c r="C40" s="73">
        <f t="shared" si="1"/>
        <v>0</v>
      </c>
      <c r="D40" s="73">
        <f t="shared" si="8"/>
        <v>0</v>
      </c>
      <c r="E40" s="74">
        <f t="shared" si="3"/>
        <v>0</v>
      </c>
      <c r="F40" s="75">
        <f t="shared" si="9"/>
        <v>0</v>
      </c>
      <c r="G40" s="27">
        <f t="shared" si="10"/>
        <v>0</v>
      </c>
    </row>
    <row r="41" spans="1:11" ht="15.6">
      <c r="A41" s="71" t="str">
        <f t="shared" si="7"/>
        <v>超出期限</v>
      </c>
      <c r="B41" s="72" t="str">
        <f t="shared" si="0"/>
        <v>超出期限</v>
      </c>
      <c r="C41" s="73">
        <f t="shared" si="1"/>
        <v>0</v>
      </c>
      <c r="D41" s="73">
        <f t="shared" si="8"/>
        <v>0</v>
      </c>
      <c r="E41" s="74">
        <f t="shared" si="3"/>
        <v>0</v>
      </c>
      <c r="F41" s="75">
        <f t="shared" si="9"/>
        <v>0</v>
      </c>
      <c r="G41" s="27">
        <f t="shared" si="10"/>
        <v>0</v>
      </c>
    </row>
    <row r="42" spans="1:11" ht="15.6">
      <c r="A42" s="71" t="str">
        <f t="shared" si="7"/>
        <v>超出期限</v>
      </c>
      <c r="B42" s="72" t="str">
        <f t="shared" si="0"/>
        <v>超出期限</v>
      </c>
      <c r="C42" s="73">
        <f t="shared" si="1"/>
        <v>0</v>
      </c>
      <c r="D42" s="73">
        <f t="shared" si="8"/>
        <v>0</v>
      </c>
      <c r="E42" s="74">
        <f t="shared" si="3"/>
        <v>0</v>
      </c>
      <c r="F42" s="75">
        <f t="shared" si="9"/>
        <v>0</v>
      </c>
      <c r="G42" s="27">
        <f t="shared" si="10"/>
        <v>0</v>
      </c>
    </row>
    <row r="43" spans="1:11" ht="15.6">
      <c r="A43" s="71" t="str">
        <f t="shared" si="7"/>
        <v>超出期限</v>
      </c>
      <c r="B43" s="72" t="str">
        <f t="shared" si="0"/>
        <v>超出期限</v>
      </c>
      <c r="C43" s="73">
        <f t="shared" si="1"/>
        <v>0</v>
      </c>
      <c r="D43" s="73">
        <f t="shared" si="8"/>
        <v>0</v>
      </c>
      <c r="E43" s="74">
        <f t="shared" si="3"/>
        <v>0</v>
      </c>
      <c r="F43" s="75">
        <f t="shared" si="9"/>
        <v>0</v>
      </c>
      <c r="G43" s="27">
        <f t="shared" si="10"/>
        <v>0</v>
      </c>
    </row>
    <row r="44" spans="1:11" ht="15.6">
      <c r="A44" s="71" t="str">
        <f t="shared" si="7"/>
        <v>超出期限</v>
      </c>
      <c r="B44" s="72" t="str">
        <f t="shared" si="0"/>
        <v>超出期限</v>
      </c>
      <c r="C44" s="73">
        <f t="shared" si="1"/>
        <v>0</v>
      </c>
      <c r="D44" s="73">
        <f t="shared" si="8"/>
        <v>0</v>
      </c>
      <c r="E44" s="74">
        <f t="shared" si="3"/>
        <v>0</v>
      </c>
      <c r="F44" s="75">
        <f t="shared" si="9"/>
        <v>0</v>
      </c>
      <c r="G44" s="27">
        <f t="shared" si="10"/>
        <v>0</v>
      </c>
    </row>
    <row r="45" spans="1:11" ht="15.6">
      <c r="A45" s="71" t="str">
        <f t="shared" si="7"/>
        <v>超出期限</v>
      </c>
      <c r="B45" s="72" t="str">
        <f t="shared" si="0"/>
        <v>超出期限</v>
      </c>
      <c r="C45" s="73">
        <f t="shared" si="1"/>
        <v>0</v>
      </c>
      <c r="D45" s="73">
        <f t="shared" si="8"/>
        <v>0</v>
      </c>
      <c r="E45" s="74">
        <f t="shared" si="3"/>
        <v>0</v>
      </c>
      <c r="F45" s="75">
        <f t="shared" si="9"/>
        <v>0</v>
      </c>
      <c r="G45" s="27">
        <f t="shared" si="10"/>
        <v>0</v>
      </c>
    </row>
    <row r="46" spans="1:11" ht="15.6">
      <c r="A46" s="71" t="str">
        <f t="shared" si="7"/>
        <v>超出期限</v>
      </c>
      <c r="B46" s="72" t="str">
        <f t="shared" si="0"/>
        <v>超出期限</v>
      </c>
      <c r="C46" s="73">
        <f t="shared" si="1"/>
        <v>0</v>
      </c>
      <c r="D46" s="73">
        <f t="shared" si="8"/>
        <v>0</v>
      </c>
      <c r="E46" s="74">
        <f t="shared" si="3"/>
        <v>0</v>
      </c>
      <c r="F46" s="75">
        <f t="shared" si="9"/>
        <v>0</v>
      </c>
      <c r="G46" s="27">
        <f t="shared" si="10"/>
        <v>0</v>
      </c>
    </row>
    <row r="47" spans="1:11" ht="15.6">
      <c r="A47" s="71" t="str">
        <f t="shared" si="7"/>
        <v>超出期限</v>
      </c>
      <c r="B47" s="72" t="str">
        <f t="shared" si="0"/>
        <v>超出期限</v>
      </c>
      <c r="C47" s="73">
        <f t="shared" si="1"/>
        <v>0</v>
      </c>
      <c r="D47" s="73">
        <f t="shared" si="8"/>
        <v>0</v>
      </c>
      <c r="E47" s="74">
        <f t="shared" si="3"/>
        <v>0</v>
      </c>
      <c r="F47" s="75">
        <f t="shared" si="9"/>
        <v>0</v>
      </c>
      <c r="G47" s="27">
        <f t="shared" si="10"/>
        <v>0</v>
      </c>
    </row>
    <row r="48" spans="1:11" ht="15.6">
      <c r="A48" s="71" t="str">
        <f t="shared" si="7"/>
        <v>超出期限</v>
      </c>
      <c r="B48" s="72" t="str">
        <f t="shared" si="0"/>
        <v>超出期限</v>
      </c>
      <c r="C48" s="73">
        <f t="shared" si="1"/>
        <v>0</v>
      </c>
      <c r="D48" s="73">
        <f t="shared" si="8"/>
        <v>0</v>
      </c>
      <c r="E48" s="74">
        <f t="shared" si="3"/>
        <v>0</v>
      </c>
      <c r="F48" s="75">
        <f t="shared" si="9"/>
        <v>0</v>
      </c>
      <c r="G48" s="27">
        <f t="shared" si="10"/>
        <v>0</v>
      </c>
    </row>
    <row r="49" spans="1:7" ht="15.6">
      <c r="A49" s="71" t="str">
        <f t="shared" si="7"/>
        <v>超出期限</v>
      </c>
      <c r="B49" s="72" t="str">
        <f t="shared" si="0"/>
        <v>超出期限</v>
      </c>
      <c r="C49" s="73">
        <f t="shared" si="1"/>
        <v>0</v>
      </c>
      <c r="D49" s="73">
        <f t="shared" si="8"/>
        <v>0</v>
      </c>
      <c r="E49" s="74">
        <f t="shared" si="3"/>
        <v>0</v>
      </c>
      <c r="F49" s="75">
        <f t="shared" si="9"/>
        <v>0</v>
      </c>
      <c r="G49" s="27">
        <f t="shared" si="10"/>
        <v>0</v>
      </c>
    </row>
    <row r="50" spans="1:7" ht="15.6">
      <c r="A50" s="71" t="str">
        <f t="shared" si="7"/>
        <v>超出期限</v>
      </c>
      <c r="B50" s="72" t="str">
        <f t="shared" si="0"/>
        <v>超出期限</v>
      </c>
      <c r="C50" s="73">
        <f t="shared" si="1"/>
        <v>0</v>
      </c>
      <c r="D50" s="73">
        <f t="shared" si="8"/>
        <v>0</v>
      </c>
      <c r="E50" s="74">
        <f t="shared" si="3"/>
        <v>0</v>
      </c>
      <c r="F50" s="75">
        <f t="shared" si="9"/>
        <v>0</v>
      </c>
      <c r="G50" s="27">
        <f t="shared" si="10"/>
        <v>0</v>
      </c>
    </row>
    <row r="51" spans="1:7" ht="15.6">
      <c r="A51" s="71" t="str">
        <f t="shared" si="7"/>
        <v>超出期限</v>
      </c>
      <c r="B51" s="72" t="str">
        <f t="shared" si="0"/>
        <v>超出期限</v>
      </c>
      <c r="C51" s="73">
        <f t="shared" si="1"/>
        <v>0</v>
      </c>
      <c r="D51" s="73">
        <f t="shared" si="8"/>
        <v>0</v>
      </c>
      <c r="E51" s="74">
        <f t="shared" si="3"/>
        <v>0</v>
      </c>
      <c r="F51" s="75">
        <f t="shared" si="9"/>
        <v>0</v>
      </c>
      <c r="G51" s="27">
        <f t="shared" si="10"/>
        <v>0</v>
      </c>
    </row>
    <row r="52" spans="1:7" ht="15.6">
      <c r="A52" s="71" t="str">
        <f t="shared" si="7"/>
        <v>超出期限</v>
      </c>
      <c r="B52" s="72" t="str">
        <f t="shared" si="0"/>
        <v>超出期限</v>
      </c>
      <c r="C52" s="73">
        <f t="shared" si="1"/>
        <v>0</v>
      </c>
      <c r="D52" s="73">
        <f t="shared" si="8"/>
        <v>0</v>
      </c>
      <c r="E52" s="74">
        <f t="shared" si="3"/>
        <v>0</v>
      </c>
      <c r="F52" s="75">
        <f t="shared" si="9"/>
        <v>0</v>
      </c>
      <c r="G52" s="27">
        <f t="shared" si="10"/>
        <v>0</v>
      </c>
    </row>
    <row r="53" spans="1:7" ht="15.6">
      <c r="A53" s="71" t="str">
        <f t="shared" si="7"/>
        <v>超出期限</v>
      </c>
      <c r="B53" s="72" t="str">
        <f t="shared" si="0"/>
        <v>超出期限</v>
      </c>
      <c r="C53" s="73">
        <f t="shared" si="1"/>
        <v>0</v>
      </c>
      <c r="D53" s="73">
        <f t="shared" ref="D53:D64" si="11">IF(A53="超出期限",0,D52-F52)</f>
        <v>0</v>
      </c>
      <c r="E53" s="74">
        <f t="shared" si="3"/>
        <v>0</v>
      </c>
      <c r="F53" s="75">
        <f t="shared" ref="F53:F64" si="12">IF(A53="超出期限",0,IF(A53=$B$4,D53,C53-E53))</f>
        <v>0</v>
      </c>
      <c r="G53" s="27">
        <f t="shared" ref="G53:G64" si="13">E53+D53</f>
        <v>0</v>
      </c>
    </row>
    <row r="54" spans="1:7" ht="15.6">
      <c r="A54" s="71" t="str">
        <f t="shared" si="7"/>
        <v>超出期限</v>
      </c>
      <c r="B54" s="72" t="str">
        <f t="shared" si="0"/>
        <v>超出期限</v>
      </c>
      <c r="C54" s="73">
        <f t="shared" si="1"/>
        <v>0</v>
      </c>
      <c r="D54" s="73">
        <f t="shared" si="11"/>
        <v>0</v>
      </c>
      <c r="E54" s="74">
        <f t="shared" si="3"/>
        <v>0</v>
      </c>
      <c r="F54" s="75">
        <f t="shared" si="12"/>
        <v>0</v>
      </c>
      <c r="G54" s="27">
        <f t="shared" si="13"/>
        <v>0</v>
      </c>
    </row>
    <row r="55" spans="1:7" ht="15.6">
      <c r="A55" s="71" t="str">
        <f t="shared" si="7"/>
        <v>超出期限</v>
      </c>
      <c r="B55" s="72" t="str">
        <f t="shared" si="0"/>
        <v>超出期限</v>
      </c>
      <c r="C55" s="73">
        <f t="shared" si="1"/>
        <v>0</v>
      </c>
      <c r="D55" s="73">
        <f t="shared" si="11"/>
        <v>0</v>
      </c>
      <c r="E55" s="74">
        <f t="shared" si="3"/>
        <v>0</v>
      </c>
      <c r="F55" s="75">
        <f t="shared" si="12"/>
        <v>0</v>
      </c>
      <c r="G55" s="27">
        <f t="shared" si="13"/>
        <v>0</v>
      </c>
    </row>
    <row r="56" spans="1:7" ht="15.6">
      <c r="A56" s="71" t="str">
        <f t="shared" si="7"/>
        <v>超出期限</v>
      </c>
      <c r="B56" s="72" t="str">
        <f t="shared" si="0"/>
        <v>超出期限</v>
      </c>
      <c r="C56" s="73">
        <f t="shared" si="1"/>
        <v>0</v>
      </c>
      <c r="D56" s="73">
        <f t="shared" si="11"/>
        <v>0</v>
      </c>
      <c r="E56" s="74">
        <f t="shared" si="3"/>
        <v>0</v>
      </c>
      <c r="F56" s="75">
        <f t="shared" si="12"/>
        <v>0</v>
      </c>
      <c r="G56" s="27">
        <f t="shared" si="13"/>
        <v>0</v>
      </c>
    </row>
    <row r="57" spans="1:7" ht="15.6">
      <c r="A57" s="71" t="str">
        <f t="shared" si="7"/>
        <v>超出期限</v>
      </c>
      <c r="B57" s="72" t="str">
        <f t="shared" si="0"/>
        <v>超出期限</v>
      </c>
      <c r="C57" s="73">
        <f t="shared" si="1"/>
        <v>0</v>
      </c>
      <c r="D57" s="73">
        <f t="shared" si="11"/>
        <v>0</v>
      </c>
      <c r="E57" s="74">
        <f t="shared" si="3"/>
        <v>0</v>
      </c>
      <c r="F57" s="75">
        <f t="shared" si="12"/>
        <v>0</v>
      </c>
      <c r="G57" s="27">
        <f t="shared" si="13"/>
        <v>0</v>
      </c>
    </row>
    <row r="58" spans="1:7" ht="15.6">
      <c r="A58" s="71" t="str">
        <f t="shared" si="7"/>
        <v>超出期限</v>
      </c>
      <c r="B58" s="72" t="str">
        <f t="shared" si="0"/>
        <v>超出期限</v>
      </c>
      <c r="C58" s="73">
        <f t="shared" si="1"/>
        <v>0</v>
      </c>
      <c r="D58" s="73">
        <f t="shared" si="11"/>
        <v>0</v>
      </c>
      <c r="E58" s="74">
        <f t="shared" si="3"/>
        <v>0</v>
      </c>
      <c r="F58" s="75">
        <f t="shared" si="12"/>
        <v>0</v>
      </c>
      <c r="G58" s="27">
        <f t="shared" si="13"/>
        <v>0</v>
      </c>
    </row>
    <row r="59" spans="1:7" ht="15.6">
      <c r="A59" s="71" t="str">
        <f t="shared" si="7"/>
        <v>超出期限</v>
      </c>
      <c r="B59" s="72" t="str">
        <f t="shared" si="0"/>
        <v>超出期限</v>
      </c>
      <c r="C59" s="73">
        <f t="shared" si="1"/>
        <v>0</v>
      </c>
      <c r="D59" s="73">
        <f t="shared" si="11"/>
        <v>0</v>
      </c>
      <c r="E59" s="74">
        <f t="shared" si="3"/>
        <v>0</v>
      </c>
      <c r="F59" s="75">
        <f t="shared" si="12"/>
        <v>0</v>
      </c>
      <c r="G59" s="27">
        <f t="shared" si="13"/>
        <v>0</v>
      </c>
    </row>
    <row r="60" spans="1:7" ht="15.6">
      <c r="A60" s="71" t="str">
        <f t="shared" si="7"/>
        <v>超出期限</v>
      </c>
      <c r="B60" s="72" t="str">
        <f t="shared" si="0"/>
        <v>超出期限</v>
      </c>
      <c r="C60" s="73">
        <f t="shared" si="1"/>
        <v>0</v>
      </c>
      <c r="D60" s="73">
        <f t="shared" si="11"/>
        <v>0</v>
      </c>
      <c r="E60" s="74">
        <f t="shared" si="3"/>
        <v>0</v>
      </c>
      <c r="F60" s="75">
        <f t="shared" si="12"/>
        <v>0</v>
      </c>
      <c r="G60" s="27">
        <f t="shared" si="13"/>
        <v>0</v>
      </c>
    </row>
    <row r="61" spans="1:7" ht="15.6">
      <c r="A61" s="71" t="str">
        <f t="shared" si="7"/>
        <v>超出期限</v>
      </c>
      <c r="B61" s="72" t="str">
        <f t="shared" si="0"/>
        <v>超出期限</v>
      </c>
      <c r="C61" s="73">
        <f t="shared" si="1"/>
        <v>0</v>
      </c>
      <c r="D61" s="73">
        <f t="shared" si="11"/>
        <v>0</v>
      </c>
      <c r="E61" s="74">
        <f t="shared" si="3"/>
        <v>0</v>
      </c>
      <c r="F61" s="75">
        <f t="shared" si="12"/>
        <v>0</v>
      </c>
      <c r="G61" s="27">
        <f t="shared" si="13"/>
        <v>0</v>
      </c>
    </row>
    <row r="62" spans="1:7" ht="15.6">
      <c r="A62" s="71" t="str">
        <f t="shared" si="7"/>
        <v>超出期限</v>
      </c>
      <c r="B62" s="72" t="str">
        <f t="shared" si="0"/>
        <v>超出期限</v>
      </c>
      <c r="C62" s="73">
        <f t="shared" si="1"/>
        <v>0</v>
      </c>
      <c r="D62" s="73">
        <f t="shared" si="11"/>
        <v>0</v>
      </c>
      <c r="E62" s="74">
        <f t="shared" si="3"/>
        <v>0</v>
      </c>
      <c r="F62" s="75">
        <f t="shared" si="12"/>
        <v>0</v>
      </c>
      <c r="G62" s="27">
        <f t="shared" si="13"/>
        <v>0</v>
      </c>
    </row>
    <row r="63" spans="1:7" ht="15.6">
      <c r="A63" s="71" t="str">
        <f t="shared" si="7"/>
        <v>超出期限</v>
      </c>
      <c r="B63" s="72" t="str">
        <f t="shared" si="0"/>
        <v>超出期限</v>
      </c>
      <c r="C63" s="73">
        <f t="shared" si="1"/>
        <v>0</v>
      </c>
      <c r="D63" s="73">
        <f t="shared" si="11"/>
        <v>0</v>
      </c>
      <c r="E63" s="74">
        <f t="shared" si="3"/>
        <v>0</v>
      </c>
      <c r="F63" s="75">
        <f t="shared" si="12"/>
        <v>0</v>
      </c>
      <c r="G63" s="27">
        <f t="shared" si="13"/>
        <v>0</v>
      </c>
    </row>
    <row r="64" spans="1:7" ht="15.6">
      <c r="A64" s="71" t="str">
        <f t="shared" si="7"/>
        <v>超出期限</v>
      </c>
      <c r="B64" s="72" t="str">
        <f t="shared" si="0"/>
        <v>超出期限</v>
      </c>
      <c r="C64" s="73">
        <f t="shared" si="1"/>
        <v>0</v>
      </c>
      <c r="D64" s="73">
        <f t="shared" si="11"/>
        <v>0</v>
      </c>
      <c r="E64" s="74">
        <f t="shared" si="3"/>
        <v>0</v>
      </c>
      <c r="F64" s="75">
        <f t="shared" si="12"/>
        <v>0</v>
      </c>
      <c r="G64" s="27">
        <f t="shared" si="13"/>
        <v>0</v>
      </c>
    </row>
  </sheetData>
  <mergeCells count="2">
    <mergeCell ref="A1:B1"/>
    <mergeCell ref="A16:B16"/>
  </mergeCells>
  <phoneticPr fontId="28" type="noConversion"/>
  <dataValidations count="2">
    <dataValidation type="list" allowBlank="1" showInputMessage="1" showErrorMessage="1" sqref="B4">
      <formula1>"3,6,12,18,24,36,48"</formula1>
    </dataValidation>
    <dataValidation type="list" allowBlank="1" showInputMessage="1" showErrorMessage="1" sqref="B15">
      <formula1>"AA,A,BB,B,C,D,E"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C19" sqref="C19"/>
    </sheetView>
  </sheetViews>
  <sheetFormatPr defaultColWidth="9" defaultRowHeight="13.8"/>
  <cols>
    <col min="1" max="1" width="18.44140625" customWidth="1"/>
    <col min="2" max="2" width="14.6640625" customWidth="1"/>
    <col min="3" max="3" width="18.6640625" customWidth="1"/>
    <col min="4" max="4" width="26.33203125" customWidth="1"/>
    <col min="5" max="5" width="22.44140625" customWidth="1"/>
    <col min="6" max="6" width="28.88671875" bestFit="1" customWidth="1"/>
    <col min="7" max="7" width="15.6640625" customWidth="1"/>
    <col min="8" max="8" width="21.44140625" customWidth="1"/>
  </cols>
  <sheetData>
    <row r="1" spans="1:10" ht="15.6">
      <c r="A1" s="151" t="s">
        <v>0</v>
      </c>
      <c r="B1" s="152"/>
      <c r="C1" s="11"/>
      <c r="D1" s="12" t="s">
        <v>1</v>
      </c>
      <c r="E1" s="13"/>
      <c r="F1" s="13"/>
      <c r="G1" s="13"/>
      <c r="H1" s="32"/>
    </row>
    <row r="2" spans="1:10" ht="15.6">
      <c r="A2" s="14" t="s">
        <v>2</v>
      </c>
      <c r="B2" s="15" t="s">
        <v>3</v>
      </c>
      <c r="C2" s="11"/>
      <c r="D2" s="16" t="s">
        <v>4</v>
      </c>
      <c r="E2" s="17" t="s">
        <v>5</v>
      </c>
      <c r="F2" s="17" t="s">
        <v>6</v>
      </c>
      <c r="G2" s="17" t="s">
        <v>7</v>
      </c>
      <c r="H2" s="32"/>
    </row>
    <row r="3" spans="1:10" ht="15.6">
      <c r="A3" s="18" t="s">
        <v>8</v>
      </c>
      <c r="B3" s="19">
        <f>第一笔生成器!B3</f>
        <v>10000</v>
      </c>
      <c r="C3" s="20" t="s">
        <v>9</v>
      </c>
      <c r="D3" s="49" t="s">
        <v>40</v>
      </c>
      <c r="E3" s="21" t="s">
        <v>141</v>
      </c>
      <c r="F3" s="49" t="s">
        <v>140</v>
      </c>
      <c r="G3" s="23">
        <f>ROUND(23.5%*(B18-B22),2)</f>
        <v>91.42</v>
      </c>
      <c r="H3" s="32"/>
    </row>
    <row r="4" spans="1:10" ht="15.6">
      <c r="A4" s="14" t="s">
        <v>11</v>
      </c>
      <c r="B4" s="24">
        <f>第一笔生成器!B4</f>
        <v>12</v>
      </c>
      <c r="C4" s="25" t="s">
        <v>9</v>
      </c>
      <c r="D4" s="49" t="s">
        <v>132</v>
      </c>
      <c r="E4" s="21" t="s">
        <v>133</v>
      </c>
      <c r="F4" s="49" t="s">
        <v>138</v>
      </c>
      <c r="G4" s="23">
        <f>ROUND(26.5%*(B18-B22),2)</f>
        <v>103.09</v>
      </c>
      <c r="H4" s="32"/>
      <c r="J4" s="78"/>
    </row>
    <row r="5" spans="1:10" ht="15.6">
      <c r="A5" s="14" t="s">
        <v>14</v>
      </c>
      <c r="B5" s="28">
        <f>第一笔生成器!B5</f>
        <v>0.10250000000000001</v>
      </c>
      <c r="C5" s="25" t="s">
        <v>9</v>
      </c>
      <c r="D5" s="49" t="s">
        <v>12</v>
      </c>
      <c r="E5" s="26" t="s">
        <v>13</v>
      </c>
      <c r="F5" s="49" t="s">
        <v>139</v>
      </c>
      <c r="G5" s="27">
        <f>B18-G3-G4-G6</f>
        <v>194.48999999999998</v>
      </c>
      <c r="H5" s="32"/>
    </row>
    <row r="6" spans="1:10" ht="15.6">
      <c r="A6" s="14" t="s">
        <v>18</v>
      </c>
      <c r="B6" s="29">
        <f>(1+B5)^(1/12)-1</f>
        <v>8.1648460519010424E-3</v>
      </c>
      <c r="C6" s="25"/>
      <c r="D6" s="49" t="s">
        <v>40</v>
      </c>
      <c r="E6" s="21" t="s">
        <v>15</v>
      </c>
      <c r="F6" s="22" t="s">
        <v>17</v>
      </c>
      <c r="G6" s="27">
        <f>ROUND(B3*0.3%,2)</f>
        <v>30</v>
      </c>
      <c r="H6" s="32"/>
    </row>
    <row r="7" spans="1:10" ht="15.6">
      <c r="A7" s="14" t="s">
        <v>19</v>
      </c>
      <c r="B7" s="29">
        <v>3.0000000000000001E-3</v>
      </c>
      <c r="C7" s="25" t="s">
        <v>9</v>
      </c>
      <c r="D7" s="30"/>
      <c r="E7" s="30"/>
      <c r="F7" s="22"/>
      <c r="G7" s="30"/>
      <c r="H7" s="32"/>
      <c r="I7" s="79"/>
    </row>
    <row r="8" spans="1:10" ht="15.6">
      <c r="A8" s="14" t="s">
        <v>21</v>
      </c>
      <c r="B8" s="33">
        <f>第一笔生成器!B9</f>
        <v>0.2485</v>
      </c>
      <c r="C8" s="25" t="s">
        <v>9</v>
      </c>
      <c r="D8" s="31" t="s">
        <v>20</v>
      </c>
      <c r="E8" s="31"/>
      <c r="F8" s="31"/>
      <c r="G8" s="32"/>
      <c r="H8" s="32"/>
      <c r="I8" s="79"/>
    </row>
    <row r="9" spans="1:10" ht="15.6">
      <c r="A9" s="14" t="s">
        <v>23</v>
      </c>
      <c r="B9" s="33">
        <f>第一笔生成器!B10</f>
        <v>4.19E-2</v>
      </c>
      <c r="C9" s="25" t="s">
        <v>9</v>
      </c>
      <c r="D9" s="16" t="s">
        <v>22</v>
      </c>
      <c r="E9" s="17" t="s">
        <v>5</v>
      </c>
      <c r="F9" s="17" t="s">
        <v>7</v>
      </c>
      <c r="G9" s="32"/>
      <c r="H9" s="32"/>
      <c r="I9" s="79"/>
      <c r="J9" s="80" t="s">
        <v>26</v>
      </c>
    </row>
    <row r="10" spans="1:10" ht="15.6">
      <c r="A10" s="14" t="s">
        <v>27</v>
      </c>
      <c r="B10" s="37">
        <f>第一笔生成器!B11</f>
        <v>0</v>
      </c>
      <c r="C10" s="25" t="s">
        <v>28</v>
      </c>
      <c r="D10" s="34" t="s">
        <v>24</v>
      </c>
      <c r="E10" s="26" t="s">
        <v>25</v>
      </c>
      <c r="F10" s="35">
        <f>B21</f>
        <v>0</v>
      </c>
      <c r="G10" s="36"/>
      <c r="H10" s="32"/>
      <c r="I10" s="79"/>
    </row>
    <row r="11" spans="1:10" ht="15.6">
      <c r="A11" s="39" t="s">
        <v>31</v>
      </c>
      <c r="B11" s="33">
        <f>第一笔生成器!B12</f>
        <v>5.8999999999999997E-2</v>
      </c>
      <c r="C11" s="25" t="s">
        <v>9</v>
      </c>
      <c r="D11" s="34" t="s">
        <v>29</v>
      </c>
      <c r="E11" s="26" t="s">
        <v>30</v>
      </c>
      <c r="F11" s="35">
        <f>B20</f>
        <v>590</v>
      </c>
      <c r="G11" s="38"/>
      <c r="H11" s="32"/>
      <c r="I11" s="79"/>
    </row>
    <row r="12" spans="1:10" ht="15.6">
      <c r="A12" s="40" t="s">
        <v>33</v>
      </c>
      <c r="B12" s="41">
        <f>第一笔生成器!B13</f>
        <v>43131</v>
      </c>
      <c r="C12" s="25"/>
      <c r="D12" s="34" t="s">
        <v>10</v>
      </c>
      <c r="E12" s="21" t="s">
        <v>32</v>
      </c>
      <c r="F12" s="35">
        <f>B23</f>
        <v>1895</v>
      </c>
      <c r="G12" s="36"/>
      <c r="H12" s="26"/>
      <c r="I12" s="79"/>
    </row>
    <row r="13" spans="1:10" ht="15.6">
      <c r="A13" s="40" t="s">
        <v>34</v>
      </c>
      <c r="B13" s="41">
        <f>EDATE(B12,1)</f>
        <v>43159</v>
      </c>
      <c r="C13" s="25"/>
      <c r="E13" s="32"/>
      <c r="F13" s="32"/>
      <c r="G13" s="32"/>
      <c r="H13" s="32"/>
      <c r="I13" s="79"/>
      <c r="J13" s="32"/>
    </row>
    <row r="14" spans="1:10" ht="15.6">
      <c r="A14" s="42" t="s">
        <v>36</v>
      </c>
      <c r="B14" s="43" t="s">
        <v>37</v>
      </c>
      <c r="C14" s="32"/>
      <c r="D14" s="32" t="s">
        <v>35</v>
      </c>
      <c r="E14" s="32"/>
      <c r="F14" s="32"/>
      <c r="G14" s="32"/>
      <c r="H14" s="44"/>
      <c r="I14" s="79"/>
      <c r="J14" s="32"/>
    </row>
    <row r="15" spans="1:10" ht="15.6">
      <c r="A15" s="45" t="s">
        <v>39</v>
      </c>
      <c r="B15" s="46"/>
      <c r="C15" s="32"/>
      <c r="D15" s="17" t="s">
        <v>4</v>
      </c>
      <c r="E15" s="17" t="s">
        <v>5</v>
      </c>
      <c r="F15" s="17" t="s">
        <v>38</v>
      </c>
      <c r="G15" s="17" t="s">
        <v>7</v>
      </c>
      <c r="H15" s="50"/>
      <c r="I15" s="79"/>
      <c r="J15" s="44"/>
    </row>
    <row r="16" spans="1:10" ht="15.6">
      <c r="A16" s="51" t="s">
        <v>43</v>
      </c>
      <c r="B16" s="52">
        <f>B3</f>
        <v>10000</v>
      </c>
      <c r="C16" s="20"/>
      <c r="D16" s="47" t="s">
        <v>40</v>
      </c>
      <c r="E16" s="48" t="s">
        <v>41</v>
      </c>
      <c r="F16" s="49" t="s">
        <v>42</v>
      </c>
      <c r="G16" s="35">
        <f>G3+G4+G6+F12</f>
        <v>2119.5100000000002</v>
      </c>
      <c r="H16" s="32"/>
      <c r="I16" s="79"/>
      <c r="J16" s="50"/>
    </row>
    <row r="17" spans="1:10" ht="15">
      <c r="A17" s="51" t="s">
        <v>45</v>
      </c>
      <c r="B17" s="53">
        <f>ROUND(PMT(B6,B4,-B16),2)</f>
        <v>878.22</v>
      </c>
      <c r="C17" s="32"/>
      <c r="D17" s="47" t="s">
        <v>12</v>
      </c>
      <c r="E17" s="48" t="s">
        <v>13</v>
      </c>
      <c r="F17" s="49" t="s">
        <v>44</v>
      </c>
      <c r="G17" s="35">
        <f>G5</f>
        <v>194.48999999999998</v>
      </c>
      <c r="H17" s="32"/>
      <c r="I17" s="79"/>
      <c r="J17" s="32"/>
    </row>
    <row r="18" spans="1:10" ht="30">
      <c r="A18" s="51" t="s">
        <v>1</v>
      </c>
      <c r="B18" s="56">
        <f>ROUND(B9*B3,2)</f>
        <v>419</v>
      </c>
      <c r="C18" s="32"/>
      <c r="D18" s="54" t="s">
        <v>24</v>
      </c>
      <c r="E18" s="55" t="s">
        <v>25</v>
      </c>
      <c r="F18" s="49" t="s">
        <v>46</v>
      </c>
      <c r="G18" s="35">
        <f>F10</f>
        <v>0</v>
      </c>
      <c r="H18" s="32"/>
      <c r="I18" s="79"/>
      <c r="J18" s="32"/>
    </row>
    <row r="19" spans="1:10" ht="15.6">
      <c r="A19" s="51" t="s">
        <v>47</v>
      </c>
      <c r="B19" s="52">
        <f>ROUND(B8*B3,2)</f>
        <v>2485</v>
      </c>
      <c r="C19" s="32"/>
      <c r="D19" s="54" t="s">
        <v>29</v>
      </c>
      <c r="E19" s="55" t="s">
        <v>30</v>
      </c>
      <c r="F19" s="49" t="s">
        <v>46</v>
      </c>
      <c r="G19" s="35">
        <f>F11</f>
        <v>590</v>
      </c>
      <c r="H19" s="32"/>
      <c r="I19" s="79"/>
      <c r="J19" s="32"/>
    </row>
    <row r="20" spans="1:10" ht="15">
      <c r="A20" s="60" t="s">
        <v>30</v>
      </c>
      <c r="B20" s="35">
        <f>IF($B$4&lt;=12,ROUND($B$3*$B$11,2),0)</f>
        <v>590</v>
      </c>
      <c r="C20" s="61"/>
      <c r="D20" s="57"/>
      <c r="E20" s="58" t="s">
        <v>77</v>
      </c>
      <c r="F20" s="59" t="s">
        <v>78</v>
      </c>
      <c r="G20" s="44">
        <f>ROUND($B$16*$I$21,2)</f>
        <v>0</v>
      </c>
      <c r="H20" s="32"/>
      <c r="I20" s="32"/>
      <c r="J20" s="32"/>
    </row>
    <row r="21" spans="1:10" ht="15">
      <c r="A21" s="60" t="s">
        <v>50</v>
      </c>
      <c r="B21" s="35">
        <f>IF($B$4&gt;12,ROUND($B$3*$B$11,2),0)</f>
        <v>0</v>
      </c>
      <c r="C21" s="61"/>
      <c r="H21" s="44" t="s">
        <v>53</v>
      </c>
      <c r="I21" s="81">
        <f>IF(B4&lt;=12,0,IF(B4&lt;=24,0.8%,IF(B4&lt;=36,1%,1.2%)))</f>
        <v>0</v>
      </c>
      <c r="J21" s="32"/>
    </row>
    <row r="22" spans="1:10" ht="15.6">
      <c r="A22" s="60" t="s">
        <v>54</v>
      </c>
      <c r="B22" s="62">
        <f>ROUND(B3*0.3%,2)</f>
        <v>30</v>
      </c>
      <c r="C22" s="20"/>
      <c r="D22" s="63"/>
      <c r="E22" s="44"/>
      <c r="F22" s="50"/>
      <c r="G22" s="50"/>
      <c r="H22" s="50"/>
      <c r="I22" s="44"/>
      <c r="J22" s="44"/>
    </row>
    <row r="23" spans="1:10" ht="15.6">
      <c r="A23" s="60" t="s">
        <v>32</v>
      </c>
      <c r="B23" s="62">
        <f>B19-B20-B21</f>
        <v>1895</v>
      </c>
      <c r="C23" s="20"/>
      <c r="D23" s="63"/>
      <c r="E23" s="44"/>
      <c r="F23" s="50"/>
      <c r="G23" s="50"/>
      <c r="H23" s="50"/>
      <c r="I23" s="50"/>
      <c r="J23" s="50"/>
    </row>
    <row r="24" spans="1:10" ht="15">
      <c r="A24" s="64" t="s">
        <v>57</v>
      </c>
      <c r="B24" s="53">
        <f>0</f>
        <v>0</v>
      </c>
      <c r="C24" s="65"/>
      <c r="D24" s="58"/>
      <c r="E24" s="44"/>
      <c r="F24" s="32"/>
      <c r="G24" s="32"/>
    </row>
    <row r="25" spans="1:10" ht="15">
      <c r="A25" s="66"/>
      <c r="B25" s="15"/>
      <c r="C25" s="58"/>
      <c r="D25" s="58"/>
      <c r="E25" s="44"/>
      <c r="F25" s="67"/>
      <c r="G25" s="32"/>
    </row>
    <row r="26" spans="1:10" ht="15">
      <c r="A26" s="58"/>
      <c r="B26" s="68"/>
      <c r="C26" s="58"/>
      <c r="F26" s="67"/>
      <c r="G26" s="32"/>
    </row>
    <row r="27" spans="1:10" ht="15.6">
      <c r="A27" s="69" t="s">
        <v>61</v>
      </c>
      <c r="B27" s="68"/>
      <c r="C27" s="58"/>
      <c r="F27" s="67"/>
      <c r="G27" s="32"/>
    </row>
    <row r="28" spans="1:10" ht="15.6">
      <c r="A28" s="70" t="s">
        <v>62</v>
      </c>
      <c r="B28" s="70" t="s">
        <v>63</v>
      </c>
      <c r="C28" s="70" t="s">
        <v>64</v>
      </c>
      <c r="D28" s="70" t="s">
        <v>65</v>
      </c>
      <c r="E28" s="70" t="s">
        <v>66</v>
      </c>
      <c r="F28" s="70" t="s">
        <v>67</v>
      </c>
      <c r="G28" s="70" t="s">
        <v>68</v>
      </c>
    </row>
    <row r="29" spans="1:10" ht="15.6">
      <c r="A29" s="71">
        <v>1</v>
      </c>
      <c r="B29" s="72">
        <f>IF(A29="超出期限","超出期限",EDATE($B$12,A29))</f>
        <v>43159</v>
      </c>
      <c r="C29" s="73">
        <f t="shared" ref="C29:C39" si="0">IF(A29&gt;$B$4,0,$B$17)</f>
        <v>878.22</v>
      </c>
      <c r="D29" s="73">
        <f>B16</f>
        <v>10000</v>
      </c>
      <c r="E29" s="74">
        <f>ROUND(IF(A29="超出期限",0,IF(A29=$B$4,C29-F29,D29*$B$6)),2)</f>
        <v>81.650000000000006</v>
      </c>
      <c r="F29" s="75">
        <f t="shared" ref="F29:F39" si="1">IF(A29="超出期限",0,IF(A29=$B$4,D29,C29-E29))</f>
        <v>796.57</v>
      </c>
      <c r="G29" s="27">
        <f t="shared" ref="G29:G39" si="2">E29+D29</f>
        <v>10081.65</v>
      </c>
    </row>
    <row r="30" spans="1:10" ht="15.6">
      <c r="A30" s="71">
        <f t="shared" ref="A30:A39" si="3">IF(A29&lt;$B$4,A29+1,"超出期限")</f>
        <v>2</v>
      </c>
      <c r="B30" s="72">
        <f t="shared" ref="B30:B58" si="4">IF(A30="超出期限","超出期限",EDATE($B$12,A30))</f>
        <v>43190</v>
      </c>
      <c r="C30" s="76">
        <f t="shared" si="0"/>
        <v>878.22</v>
      </c>
      <c r="D30" s="73">
        <f t="shared" ref="D30:D39" si="5">IF(A30="超出期限",0,D29-F29)</f>
        <v>9203.43</v>
      </c>
      <c r="E30" s="74">
        <f t="shared" ref="E30:E58" si="6">ROUND(IF(A30="超出期限",0,IF(A30=$B$4,C30-F30,D30*$B$6)),2)</f>
        <v>75.14</v>
      </c>
      <c r="F30" s="75">
        <f t="shared" si="1"/>
        <v>803.08</v>
      </c>
      <c r="G30" s="27">
        <f t="shared" si="2"/>
        <v>9278.57</v>
      </c>
    </row>
    <row r="31" spans="1:10" ht="15.6">
      <c r="A31" s="71">
        <f t="shared" si="3"/>
        <v>3</v>
      </c>
      <c r="B31" s="72">
        <f t="shared" si="4"/>
        <v>43220</v>
      </c>
      <c r="C31" s="76">
        <f t="shared" si="0"/>
        <v>878.22</v>
      </c>
      <c r="D31" s="73">
        <f t="shared" si="5"/>
        <v>8400.35</v>
      </c>
      <c r="E31" s="74">
        <f t="shared" si="6"/>
        <v>68.59</v>
      </c>
      <c r="F31" s="75">
        <f t="shared" si="1"/>
        <v>809.63</v>
      </c>
      <c r="G31" s="27">
        <f t="shared" si="2"/>
        <v>8468.94</v>
      </c>
    </row>
    <row r="32" spans="1:10" ht="15.6">
      <c r="A32" s="71">
        <f t="shared" si="3"/>
        <v>4</v>
      </c>
      <c r="B32" s="72">
        <f t="shared" si="4"/>
        <v>43251</v>
      </c>
      <c r="C32" s="76">
        <f t="shared" si="0"/>
        <v>878.22</v>
      </c>
      <c r="D32" s="73">
        <f t="shared" si="5"/>
        <v>7590.72</v>
      </c>
      <c r="E32" s="74">
        <f t="shared" si="6"/>
        <v>61.98</v>
      </c>
      <c r="F32" s="75">
        <f t="shared" si="1"/>
        <v>816.24</v>
      </c>
      <c r="G32" s="27">
        <f t="shared" si="2"/>
        <v>7652.7</v>
      </c>
    </row>
    <row r="33" spans="1:9" ht="15.6">
      <c r="A33" s="71">
        <f t="shared" si="3"/>
        <v>5</v>
      </c>
      <c r="B33" s="72">
        <f t="shared" si="4"/>
        <v>43281</v>
      </c>
      <c r="C33" s="76">
        <f t="shared" si="0"/>
        <v>878.22</v>
      </c>
      <c r="D33" s="73">
        <f t="shared" si="5"/>
        <v>6774.4800000000005</v>
      </c>
      <c r="E33" s="74">
        <f t="shared" si="6"/>
        <v>55.31</v>
      </c>
      <c r="F33" s="75">
        <f t="shared" si="1"/>
        <v>822.91000000000008</v>
      </c>
      <c r="G33" s="27">
        <f t="shared" si="2"/>
        <v>6829.7900000000009</v>
      </c>
    </row>
    <row r="34" spans="1:9" ht="15.6">
      <c r="A34" s="71">
        <f t="shared" si="3"/>
        <v>6</v>
      </c>
      <c r="B34" s="72">
        <f t="shared" si="4"/>
        <v>43312</v>
      </c>
      <c r="C34" s="76">
        <f t="shared" si="0"/>
        <v>878.22</v>
      </c>
      <c r="D34" s="73">
        <f t="shared" si="5"/>
        <v>5951.5700000000006</v>
      </c>
      <c r="E34" s="74">
        <f t="shared" si="6"/>
        <v>48.59</v>
      </c>
      <c r="F34" s="75">
        <f t="shared" si="1"/>
        <v>829.63</v>
      </c>
      <c r="G34" s="27">
        <f t="shared" si="2"/>
        <v>6000.1600000000008</v>
      </c>
    </row>
    <row r="35" spans="1:9" ht="15.6">
      <c r="A35" s="71">
        <f t="shared" si="3"/>
        <v>7</v>
      </c>
      <c r="B35" s="72">
        <f t="shared" si="4"/>
        <v>43343</v>
      </c>
      <c r="C35" s="76">
        <f t="shared" si="0"/>
        <v>878.22</v>
      </c>
      <c r="D35" s="73">
        <f t="shared" si="5"/>
        <v>5121.9400000000005</v>
      </c>
      <c r="E35" s="74">
        <f t="shared" si="6"/>
        <v>41.82</v>
      </c>
      <c r="F35" s="75">
        <f t="shared" si="1"/>
        <v>836.4</v>
      </c>
      <c r="G35" s="27">
        <f t="shared" si="2"/>
        <v>5163.76</v>
      </c>
    </row>
    <row r="36" spans="1:9" ht="15.6">
      <c r="A36" s="71">
        <f t="shared" si="3"/>
        <v>8</v>
      </c>
      <c r="B36" s="72">
        <f t="shared" si="4"/>
        <v>43373</v>
      </c>
      <c r="C36" s="76">
        <f t="shared" si="0"/>
        <v>878.22</v>
      </c>
      <c r="D36" s="73">
        <f t="shared" si="5"/>
        <v>4285.5400000000009</v>
      </c>
      <c r="E36" s="74">
        <f t="shared" si="6"/>
        <v>34.99</v>
      </c>
      <c r="F36" s="75">
        <f t="shared" si="1"/>
        <v>843.23</v>
      </c>
      <c r="G36" s="27">
        <f t="shared" si="2"/>
        <v>4320.5300000000007</v>
      </c>
      <c r="H36" s="77"/>
      <c r="I36" s="65"/>
    </row>
    <row r="37" spans="1:9" ht="15.6">
      <c r="A37" s="71">
        <f t="shared" si="3"/>
        <v>9</v>
      </c>
      <c r="B37" s="72">
        <f t="shared" si="4"/>
        <v>43404</v>
      </c>
      <c r="C37" s="76">
        <f t="shared" si="0"/>
        <v>878.22</v>
      </c>
      <c r="D37" s="73">
        <f t="shared" si="5"/>
        <v>3442.3100000000009</v>
      </c>
      <c r="E37" s="74">
        <f t="shared" si="6"/>
        <v>28.11</v>
      </c>
      <c r="F37" s="75">
        <f t="shared" si="1"/>
        <v>850.11</v>
      </c>
      <c r="G37" s="27">
        <f t="shared" si="2"/>
        <v>3470.420000000001</v>
      </c>
      <c r="H37" s="77"/>
      <c r="I37" s="65"/>
    </row>
    <row r="38" spans="1:9" ht="15.6">
      <c r="A38" s="71">
        <f t="shared" si="3"/>
        <v>10</v>
      </c>
      <c r="B38" s="72">
        <f t="shared" si="4"/>
        <v>43434</v>
      </c>
      <c r="C38" s="76">
        <f t="shared" si="0"/>
        <v>878.22</v>
      </c>
      <c r="D38" s="73">
        <f t="shared" si="5"/>
        <v>2592.2000000000007</v>
      </c>
      <c r="E38" s="74">
        <f t="shared" si="6"/>
        <v>21.16</v>
      </c>
      <c r="F38" s="75">
        <f t="shared" si="1"/>
        <v>857.06000000000006</v>
      </c>
      <c r="G38" s="27">
        <f t="shared" si="2"/>
        <v>2613.3600000000006</v>
      </c>
      <c r="H38" s="77"/>
      <c r="I38" s="65"/>
    </row>
    <row r="39" spans="1:9" ht="15.6">
      <c r="A39" s="71">
        <f t="shared" si="3"/>
        <v>11</v>
      </c>
      <c r="B39" s="72">
        <f t="shared" si="4"/>
        <v>43465</v>
      </c>
      <c r="C39" s="76">
        <f t="shared" si="0"/>
        <v>878.22</v>
      </c>
      <c r="D39" s="73">
        <f t="shared" si="5"/>
        <v>1735.1400000000008</v>
      </c>
      <c r="E39" s="74">
        <f t="shared" si="6"/>
        <v>14.17</v>
      </c>
      <c r="F39" s="75">
        <f t="shared" si="1"/>
        <v>864.05000000000007</v>
      </c>
      <c r="G39" s="27">
        <f t="shared" si="2"/>
        <v>1749.3100000000009</v>
      </c>
      <c r="H39" s="77"/>
      <c r="I39" s="65"/>
    </row>
    <row r="40" spans="1:9" ht="15.6">
      <c r="A40" s="71">
        <f t="shared" ref="A40:A58" si="7">IF(A39&lt;$B$4,A39+1,"超出期限")</f>
        <v>12</v>
      </c>
      <c r="B40" s="72">
        <f t="shared" si="4"/>
        <v>43496</v>
      </c>
      <c r="C40" s="76">
        <f t="shared" ref="C40:C58" si="8">IF(A40&gt;$B$4,0,$B$17)</f>
        <v>878.22</v>
      </c>
      <c r="D40" s="73">
        <f t="shared" ref="D40:D58" si="9">IF(A40="超出期限",0,D39-F39)</f>
        <v>871.09000000000071</v>
      </c>
      <c r="E40" s="74">
        <f t="shared" si="6"/>
        <v>7.13</v>
      </c>
      <c r="F40" s="75">
        <f t="shared" ref="F40:F58" si="10">IF(A40="超出期限",0,IF(A40=$B$4,D40,C40-E40))</f>
        <v>871.09000000000071</v>
      </c>
      <c r="G40" s="27">
        <f t="shared" ref="G40:G58" si="11">E40+D40</f>
        <v>878.22000000000071</v>
      </c>
    </row>
    <row r="41" spans="1:9" ht="15.6">
      <c r="A41" s="71" t="str">
        <f t="shared" si="7"/>
        <v>超出期限</v>
      </c>
      <c r="B41" s="72" t="str">
        <f t="shared" si="4"/>
        <v>超出期限</v>
      </c>
      <c r="C41" s="76">
        <f t="shared" si="8"/>
        <v>0</v>
      </c>
      <c r="D41" s="73">
        <f t="shared" si="9"/>
        <v>0</v>
      </c>
      <c r="E41" s="74">
        <f t="shared" si="6"/>
        <v>0</v>
      </c>
      <c r="F41" s="75">
        <f t="shared" si="10"/>
        <v>0</v>
      </c>
      <c r="G41" s="27">
        <f t="shared" si="11"/>
        <v>0</v>
      </c>
    </row>
    <row r="42" spans="1:9" ht="15.6">
      <c r="A42" s="71" t="str">
        <f t="shared" si="7"/>
        <v>超出期限</v>
      </c>
      <c r="B42" s="72" t="str">
        <f t="shared" si="4"/>
        <v>超出期限</v>
      </c>
      <c r="C42" s="76">
        <f t="shared" si="8"/>
        <v>0</v>
      </c>
      <c r="D42" s="73">
        <f t="shared" si="9"/>
        <v>0</v>
      </c>
      <c r="E42" s="74">
        <f t="shared" si="6"/>
        <v>0</v>
      </c>
      <c r="F42" s="75">
        <f t="shared" si="10"/>
        <v>0</v>
      </c>
      <c r="G42" s="27">
        <f t="shared" si="11"/>
        <v>0</v>
      </c>
    </row>
    <row r="43" spans="1:9" ht="15.6">
      <c r="A43" s="71" t="str">
        <f t="shared" si="7"/>
        <v>超出期限</v>
      </c>
      <c r="B43" s="72" t="str">
        <f t="shared" si="4"/>
        <v>超出期限</v>
      </c>
      <c r="C43" s="76">
        <f t="shared" si="8"/>
        <v>0</v>
      </c>
      <c r="D43" s="73">
        <f t="shared" si="9"/>
        <v>0</v>
      </c>
      <c r="E43" s="74">
        <f t="shared" si="6"/>
        <v>0</v>
      </c>
      <c r="F43" s="75">
        <f t="shared" si="10"/>
        <v>0</v>
      </c>
      <c r="G43" s="27">
        <f t="shared" si="11"/>
        <v>0</v>
      </c>
    </row>
    <row r="44" spans="1:9" ht="15.6">
      <c r="A44" s="71" t="str">
        <f t="shared" si="7"/>
        <v>超出期限</v>
      </c>
      <c r="B44" s="72" t="str">
        <f t="shared" si="4"/>
        <v>超出期限</v>
      </c>
      <c r="C44" s="76">
        <f t="shared" si="8"/>
        <v>0</v>
      </c>
      <c r="D44" s="73">
        <f t="shared" si="9"/>
        <v>0</v>
      </c>
      <c r="E44" s="74">
        <f t="shared" si="6"/>
        <v>0</v>
      </c>
      <c r="F44" s="75">
        <f t="shared" si="10"/>
        <v>0</v>
      </c>
      <c r="G44" s="27">
        <f t="shared" si="11"/>
        <v>0</v>
      </c>
    </row>
    <row r="45" spans="1:9" ht="15.6">
      <c r="A45" s="71" t="str">
        <f t="shared" si="7"/>
        <v>超出期限</v>
      </c>
      <c r="B45" s="72" t="str">
        <f t="shared" si="4"/>
        <v>超出期限</v>
      </c>
      <c r="C45" s="76">
        <f t="shared" si="8"/>
        <v>0</v>
      </c>
      <c r="D45" s="73">
        <f t="shared" si="9"/>
        <v>0</v>
      </c>
      <c r="E45" s="74">
        <f t="shared" si="6"/>
        <v>0</v>
      </c>
      <c r="F45" s="75">
        <f t="shared" si="10"/>
        <v>0</v>
      </c>
      <c r="G45" s="27">
        <f t="shared" si="11"/>
        <v>0</v>
      </c>
    </row>
    <row r="46" spans="1:9" ht="15.6">
      <c r="A46" s="71" t="str">
        <f t="shared" si="7"/>
        <v>超出期限</v>
      </c>
      <c r="B46" s="72" t="str">
        <f t="shared" si="4"/>
        <v>超出期限</v>
      </c>
      <c r="C46" s="76">
        <f t="shared" si="8"/>
        <v>0</v>
      </c>
      <c r="D46" s="73">
        <f t="shared" si="9"/>
        <v>0</v>
      </c>
      <c r="E46" s="74">
        <f t="shared" si="6"/>
        <v>0</v>
      </c>
      <c r="F46" s="75">
        <f t="shared" si="10"/>
        <v>0</v>
      </c>
      <c r="G46" s="27">
        <f t="shared" si="11"/>
        <v>0</v>
      </c>
    </row>
    <row r="47" spans="1:9" ht="15.6">
      <c r="A47" s="71" t="str">
        <f t="shared" si="7"/>
        <v>超出期限</v>
      </c>
      <c r="B47" s="72" t="str">
        <f t="shared" si="4"/>
        <v>超出期限</v>
      </c>
      <c r="C47" s="76">
        <f t="shared" si="8"/>
        <v>0</v>
      </c>
      <c r="D47" s="73">
        <f t="shared" si="9"/>
        <v>0</v>
      </c>
      <c r="E47" s="74">
        <f t="shared" si="6"/>
        <v>0</v>
      </c>
      <c r="F47" s="75">
        <f t="shared" si="10"/>
        <v>0</v>
      </c>
      <c r="G47" s="27">
        <f t="shared" si="11"/>
        <v>0</v>
      </c>
    </row>
    <row r="48" spans="1:9" ht="15.6">
      <c r="A48" s="71" t="str">
        <f t="shared" si="7"/>
        <v>超出期限</v>
      </c>
      <c r="B48" s="72" t="str">
        <f t="shared" si="4"/>
        <v>超出期限</v>
      </c>
      <c r="C48" s="76">
        <f t="shared" si="8"/>
        <v>0</v>
      </c>
      <c r="D48" s="73">
        <f t="shared" si="9"/>
        <v>0</v>
      </c>
      <c r="E48" s="74">
        <f t="shared" si="6"/>
        <v>0</v>
      </c>
      <c r="F48" s="75">
        <f t="shared" si="10"/>
        <v>0</v>
      </c>
      <c r="G48" s="27">
        <f t="shared" si="11"/>
        <v>0</v>
      </c>
    </row>
    <row r="49" spans="1:7" ht="15.6">
      <c r="A49" s="71" t="str">
        <f t="shared" si="7"/>
        <v>超出期限</v>
      </c>
      <c r="B49" s="72" t="str">
        <f t="shared" si="4"/>
        <v>超出期限</v>
      </c>
      <c r="C49" s="76">
        <f t="shared" si="8"/>
        <v>0</v>
      </c>
      <c r="D49" s="73">
        <f t="shared" si="9"/>
        <v>0</v>
      </c>
      <c r="E49" s="74">
        <f t="shared" si="6"/>
        <v>0</v>
      </c>
      <c r="F49" s="75">
        <f t="shared" si="10"/>
        <v>0</v>
      </c>
      <c r="G49" s="27">
        <f t="shared" si="11"/>
        <v>0</v>
      </c>
    </row>
    <row r="50" spans="1:7" ht="15.6">
      <c r="A50" s="71" t="str">
        <f t="shared" si="7"/>
        <v>超出期限</v>
      </c>
      <c r="B50" s="72" t="str">
        <f t="shared" si="4"/>
        <v>超出期限</v>
      </c>
      <c r="C50" s="76">
        <f t="shared" si="8"/>
        <v>0</v>
      </c>
      <c r="D50" s="73">
        <f t="shared" si="9"/>
        <v>0</v>
      </c>
      <c r="E50" s="74">
        <f t="shared" si="6"/>
        <v>0</v>
      </c>
      <c r="F50" s="75">
        <f t="shared" si="10"/>
        <v>0</v>
      </c>
      <c r="G50" s="27">
        <f t="shared" si="11"/>
        <v>0</v>
      </c>
    </row>
    <row r="51" spans="1:7" ht="15.6">
      <c r="A51" s="71" t="str">
        <f t="shared" si="7"/>
        <v>超出期限</v>
      </c>
      <c r="B51" s="72" t="str">
        <f t="shared" si="4"/>
        <v>超出期限</v>
      </c>
      <c r="C51" s="76">
        <f t="shared" si="8"/>
        <v>0</v>
      </c>
      <c r="D51" s="73">
        <f t="shared" si="9"/>
        <v>0</v>
      </c>
      <c r="E51" s="74">
        <f t="shared" si="6"/>
        <v>0</v>
      </c>
      <c r="F51" s="75">
        <f t="shared" si="10"/>
        <v>0</v>
      </c>
      <c r="G51" s="27">
        <f t="shared" si="11"/>
        <v>0</v>
      </c>
    </row>
    <row r="52" spans="1:7" ht="15.6">
      <c r="A52" s="71" t="str">
        <f t="shared" si="7"/>
        <v>超出期限</v>
      </c>
      <c r="B52" s="72" t="str">
        <f t="shared" si="4"/>
        <v>超出期限</v>
      </c>
      <c r="C52" s="76">
        <f t="shared" si="8"/>
        <v>0</v>
      </c>
      <c r="D52" s="73">
        <f t="shared" si="9"/>
        <v>0</v>
      </c>
      <c r="E52" s="74">
        <f t="shared" si="6"/>
        <v>0</v>
      </c>
      <c r="F52" s="75">
        <f t="shared" si="10"/>
        <v>0</v>
      </c>
      <c r="G52" s="27">
        <f t="shared" si="11"/>
        <v>0</v>
      </c>
    </row>
    <row r="53" spans="1:7" ht="15.6">
      <c r="A53" s="71" t="str">
        <f t="shared" si="7"/>
        <v>超出期限</v>
      </c>
      <c r="B53" s="72" t="str">
        <f t="shared" si="4"/>
        <v>超出期限</v>
      </c>
      <c r="C53" s="76">
        <f t="shared" si="8"/>
        <v>0</v>
      </c>
      <c r="D53" s="73">
        <f t="shared" si="9"/>
        <v>0</v>
      </c>
      <c r="E53" s="74">
        <f t="shared" si="6"/>
        <v>0</v>
      </c>
      <c r="F53" s="75">
        <f t="shared" si="10"/>
        <v>0</v>
      </c>
      <c r="G53" s="27">
        <f t="shared" si="11"/>
        <v>0</v>
      </c>
    </row>
    <row r="54" spans="1:7" ht="15.6">
      <c r="A54" s="71" t="str">
        <f t="shared" si="7"/>
        <v>超出期限</v>
      </c>
      <c r="B54" s="72" t="str">
        <f t="shared" si="4"/>
        <v>超出期限</v>
      </c>
      <c r="C54" s="76">
        <f t="shared" si="8"/>
        <v>0</v>
      </c>
      <c r="D54" s="73">
        <f t="shared" si="9"/>
        <v>0</v>
      </c>
      <c r="E54" s="74">
        <f t="shared" si="6"/>
        <v>0</v>
      </c>
      <c r="F54" s="75">
        <f t="shared" si="10"/>
        <v>0</v>
      </c>
      <c r="G54" s="27">
        <f t="shared" si="11"/>
        <v>0</v>
      </c>
    </row>
    <row r="55" spans="1:7" ht="15.6">
      <c r="A55" s="71" t="str">
        <f t="shared" si="7"/>
        <v>超出期限</v>
      </c>
      <c r="B55" s="72" t="str">
        <f t="shared" si="4"/>
        <v>超出期限</v>
      </c>
      <c r="C55" s="76">
        <f t="shared" si="8"/>
        <v>0</v>
      </c>
      <c r="D55" s="73">
        <f t="shared" si="9"/>
        <v>0</v>
      </c>
      <c r="E55" s="74">
        <f t="shared" si="6"/>
        <v>0</v>
      </c>
      <c r="F55" s="75">
        <f t="shared" si="10"/>
        <v>0</v>
      </c>
      <c r="G55" s="27">
        <f t="shared" si="11"/>
        <v>0</v>
      </c>
    </row>
    <row r="56" spans="1:7" ht="15.6">
      <c r="A56" s="71" t="str">
        <f t="shared" si="7"/>
        <v>超出期限</v>
      </c>
      <c r="B56" s="72" t="str">
        <f t="shared" si="4"/>
        <v>超出期限</v>
      </c>
      <c r="C56" s="76">
        <f t="shared" si="8"/>
        <v>0</v>
      </c>
      <c r="D56" s="73">
        <f t="shared" si="9"/>
        <v>0</v>
      </c>
      <c r="E56" s="74">
        <f t="shared" si="6"/>
        <v>0</v>
      </c>
      <c r="F56" s="75">
        <f t="shared" si="10"/>
        <v>0</v>
      </c>
      <c r="G56" s="27">
        <f t="shared" si="11"/>
        <v>0</v>
      </c>
    </row>
    <row r="57" spans="1:7" ht="15.6">
      <c r="A57" s="71" t="str">
        <f t="shared" si="7"/>
        <v>超出期限</v>
      </c>
      <c r="B57" s="72" t="str">
        <f t="shared" si="4"/>
        <v>超出期限</v>
      </c>
      <c r="C57" s="76">
        <f t="shared" si="8"/>
        <v>0</v>
      </c>
      <c r="D57" s="73">
        <f t="shared" si="9"/>
        <v>0</v>
      </c>
      <c r="E57" s="74">
        <f t="shared" si="6"/>
        <v>0</v>
      </c>
      <c r="F57" s="75">
        <f t="shared" si="10"/>
        <v>0</v>
      </c>
      <c r="G57" s="27">
        <f t="shared" si="11"/>
        <v>0</v>
      </c>
    </row>
    <row r="58" spans="1:7" ht="15.6">
      <c r="A58" s="71" t="str">
        <f t="shared" si="7"/>
        <v>超出期限</v>
      </c>
      <c r="B58" s="72" t="str">
        <f t="shared" si="4"/>
        <v>超出期限</v>
      </c>
      <c r="C58" s="76">
        <f t="shared" si="8"/>
        <v>0</v>
      </c>
      <c r="D58" s="73">
        <f t="shared" si="9"/>
        <v>0</v>
      </c>
      <c r="E58" s="74">
        <f t="shared" si="6"/>
        <v>0</v>
      </c>
      <c r="F58" s="75">
        <f t="shared" si="10"/>
        <v>0</v>
      </c>
      <c r="G58" s="27">
        <f t="shared" si="11"/>
        <v>0</v>
      </c>
    </row>
  </sheetData>
  <mergeCells count="1">
    <mergeCell ref="A1:B1"/>
  </mergeCells>
  <phoneticPr fontId="28" type="noConversion"/>
  <dataValidations count="1">
    <dataValidation type="list" allowBlank="1" showInputMessage="1" showErrorMessage="1" sqref="B14">
      <formula1>"A,B,C,D,E"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B5" sqref="B5"/>
    </sheetView>
  </sheetViews>
  <sheetFormatPr defaultColWidth="9" defaultRowHeight="13.8"/>
  <cols>
    <col min="1" max="1" width="18" customWidth="1"/>
    <col min="2" max="6" width="10" customWidth="1"/>
  </cols>
  <sheetData>
    <row r="1" spans="1:12" ht="16.8">
      <c r="A1" s="155" t="s">
        <v>79</v>
      </c>
      <c r="B1" s="156"/>
      <c r="C1" s="156"/>
      <c r="D1" s="156"/>
      <c r="E1" s="156"/>
      <c r="F1" s="156"/>
      <c r="G1" s="156"/>
      <c r="H1" s="157"/>
      <c r="I1" s="7"/>
      <c r="J1" s="116" t="s">
        <v>80</v>
      </c>
      <c r="K1" s="116" t="s">
        <v>81</v>
      </c>
    </row>
    <row r="2" spans="1:12" ht="16.8">
      <c r="A2" s="115" t="s">
        <v>142</v>
      </c>
      <c r="B2" s="115" t="s">
        <v>37</v>
      </c>
      <c r="C2" s="115" t="s">
        <v>84</v>
      </c>
      <c r="D2" s="115" t="s">
        <v>85</v>
      </c>
      <c r="E2" s="115" t="s">
        <v>85</v>
      </c>
      <c r="F2" s="115" t="s">
        <v>86</v>
      </c>
      <c r="G2" s="115" t="s">
        <v>86</v>
      </c>
      <c r="H2" s="115" t="s">
        <v>86</v>
      </c>
      <c r="I2" s="7"/>
      <c r="J2" s="116" t="s">
        <v>88</v>
      </c>
      <c r="K2" s="4">
        <v>8.3000000000000018E-2</v>
      </c>
      <c r="L2" s="6"/>
    </row>
    <row r="3" spans="1:12" ht="16.8">
      <c r="A3" s="115" t="s">
        <v>82</v>
      </c>
      <c r="B3" s="115" t="s">
        <v>76</v>
      </c>
      <c r="C3" s="115" t="s">
        <v>37</v>
      </c>
      <c r="D3" s="115" t="s">
        <v>83</v>
      </c>
      <c r="E3" s="115" t="s">
        <v>84</v>
      </c>
      <c r="F3" s="115" t="s">
        <v>85</v>
      </c>
      <c r="G3" s="115" t="s">
        <v>86</v>
      </c>
      <c r="H3" s="115" t="s">
        <v>87</v>
      </c>
      <c r="I3" s="8"/>
      <c r="J3" s="116" t="s">
        <v>89</v>
      </c>
      <c r="K3" s="4">
        <v>9.2999999999999999E-2</v>
      </c>
      <c r="L3" s="6"/>
    </row>
    <row r="4" spans="1:12" ht="16.8">
      <c r="A4" s="115">
        <v>3</v>
      </c>
      <c r="B4" s="4">
        <v>8.3000000000000004E-2</v>
      </c>
      <c r="C4" s="5">
        <v>8.3500000000000005E-2</v>
      </c>
      <c r="D4" s="5">
        <v>8.4000000000000005E-2</v>
      </c>
      <c r="E4" s="5">
        <v>8.4000000000000005E-2</v>
      </c>
      <c r="F4" s="5">
        <v>8.4500000000000006E-2</v>
      </c>
      <c r="G4" s="5">
        <v>8.4500000000000006E-2</v>
      </c>
      <c r="H4" s="5">
        <v>8.4500000000000006E-2</v>
      </c>
      <c r="I4" s="8"/>
      <c r="J4" s="116" t="s">
        <v>90</v>
      </c>
      <c r="K4" s="4">
        <v>0.10200000000000001</v>
      </c>
      <c r="L4" s="6"/>
    </row>
    <row r="5" spans="1:12" ht="16.8">
      <c r="A5" s="115">
        <v>6</v>
      </c>
      <c r="B5" s="4">
        <v>9.2999999999999999E-2</v>
      </c>
      <c r="C5" s="5">
        <v>9.35E-2</v>
      </c>
      <c r="D5" s="5">
        <v>9.4E-2</v>
      </c>
      <c r="E5" s="5">
        <v>9.4E-2</v>
      </c>
      <c r="F5" s="5">
        <v>9.4500000000000001E-2</v>
      </c>
      <c r="G5" s="5">
        <v>9.4500000000000001E-2</v>
      </c>
      <c r="H5" s="5">
        <v>9.4500000000000001E-2</v>
      </c>
      <c r="I5" s="8"/>
      <c r="J5" s="116" t="s">
        <v>91</v>
      </c>
      <c r="K5" s="4">
        <v>0.10200000000000001</v>
      </c>
      <c r="L5" s="6"/>
    </row>
    <row r="6" spans="1:12" ht="16.8">
      <c r="A6" s="115">
        <v>12</v>
      </c>
      <c r="B6" s="4">
        <v>0.10199999999999999</v>
      </c>
      <c r="C6" s="5">
        <v>0.10249999999999999</v>
      </c>
      <c r="D6" s="5">
        <v>0.10299999999999999</v>
      </c>
      <c r="E6" s="5">
        <v>0.10299999999999999</v>
      </c>
      <c r="F6" s="5">
        <v>0.10349999999999999</v>
      </c>
      <c r="G6" s="5">
        <v>0.10349999999999999</v>
      </c>
      <c r="H6" s="5">
        <v>0.10349999999999999</v>
      </c>
      <c r="I6" s="8"/>
      <c r="J6" s="116" t="s">
        <v>92</v>
      </c>
      <c r="K6" s="4">
        <v>0.11199999999999999</v>
      </c>
      <c r="L6" s="6"/>
    </row>
    <row r="7" spans="1:12" ht="16.8">
      <c r="A7" s="115">
        <v>18</v>
      </c>
      <c r="B7" s="4">
        <v>0.10199999999999999</v>
      </c>
      <c r="C7" s="5">
        <v>0.10249999999999999</v>
      </c>
      <c r="D7" s="5">
        <v>0.10299999999999999</v>
      </c>
      <c r="E7" s="5">
        <v>0.10299999999999999</v>
      </c>
      <c r="F7" s="5">
        <v>0.10349999999999999</v>
      </c>
      <c r="G7" s="5">
        <v>0.10349999999999999</v>
      </c>
      <c r="H7" s="5">
        <v>0.10349999999999999</v>
      </c>
      <c r="I7" s="8"/>
      <c r="J7" s="116" t="s">
        <v>93</v>
      </c>
      <c r="K7" s="4">
        <v>0.122</v>
      </c>
      <c r="L7" s="6"/>
    </row>
    <row r="8" spans="1:12" ht="16.8">
      <c r="A8" s="115">
        <v>24</v>
      </c>
      <c r="B8" s="4">
        <v>0.11199999999999999</v>
      </c>
      <c r="C8" s="5">
        <v>0.11249999999999999</v>
      </c>
      <c r="D8" s="5">
        <v>0.11299999999999999</v>
      </c>
      <c r="E8" s="5">
        <v>0.11299999999999999</v>
      </c>
      <c r="F8" s="5">
        <v>0.11349999999999999</v>
      </c>
      <c r="G8" s="5">
        <v>0.11349999999999999</v>
      </c>
      <c r="H8" s="5">
        <v>0.11349999999999999</v>
      </c>
      <c r="I8" s="8"/>
      <c r="J8" s="116" t="s">
        <v>94</v>
      </c>
      <c r="K8" s="4">
        <v>0.127</v>
      </c>
      <c r="L8" s="6"/>
    </row>
    <row r="9" spans="1:12" ht="16.8">
      <c r="A9" s="115">
        <v>36</v>
      </c>
      <c r="B9" s="4">
        <v>0.122</v>
      </c>
      <c r="C9" s="5">
        <v>0.1225</v>
      </c>
      <c r="D9" s="5">
        <v>0.123</v>
      </c>
      <c r="E9" s="5">
        <v>0.123</v>
      </c>
      <c r="F9" s="5">
        <v>0.1235</v>
      </c>
      <c r="G9" s="5">
        <v>0.1235</v>
      </c>
      <c r="H9" s="5">
        <v>0.1235</v>
      </c>
      <c r="I9" s="8"/>
      <c r="J9" s="116" t="s">
        <v>95</v>
      </c>
      <c r="K9" s="4">
        <v>8.3500000000000019E-2</v>
      </c>
      <c r="L9" s="6"/>
    </row>
    <row r="10" spans="1:12" ht="16.8">
      <c r="A10" s="115">
        <v>48</v>
      </c>
      <c r="B10" s="4">
        <v>0.127</v>
      </c>
      <c r="C10" s="5">
        <v>0.1275</v>
      </c>
      <c r="D10" s="5">
        <v>0.128</v>
      </c>
      <c r="E10" s="5">
        <v>0.128</v>
      </c>
      <c r="F10" s="5">
        <v>0.1285</v>
      </c>
      <c r="G10" s="5">
        <v>0.1285</v>
      </c>
      <c r="H10" s="5">
        <v>0.1285</v>
      </c>
      <c r="J10" s="116" t="s">
        <v>96</v>
      </c>
      <c r="K10" s="4">
        <v>9.35E-2</v>
      </c>
      <c r="L10" s="6"/>
    </row>
    <row r="11" spans="1:12" ht="15.6">
      <c r="J11" s="116" t="s">
        <v>97</v>
      </c>
      <c r="K11" s="4">
        <v>0.10250000000000001</v>
      </c>
      <c r="L11" s="6"/>
    </row>
    <row r="12" spans="1:12" ht="15.6">
      <c r="B12" s="6"/>
      <c r="C12" s="6"/>
      <c r="D12" s="6"/>
      <c r="E12" s="6"/>
      <c r="F12" s="6"/>
      <c r="G12" s="6"/>
      <c r="H12" s="6"/>
      <c r="J12" s="116" t="s">
        <v>98</v>
      </c>
      <c r="K12" s="4">
        <v>0.10250000000000001</v>
      </c>
      <c r="L12" s="6"/>
    </row>
    <row r="13" spans="1:12" ht="15.6">
      <c r="B13" s="6"/>
      <c r="C13" s="6"/>
      <c r="D13" s="6"/>
      <c r="E13" s="6"/>
      <c r="F13" s="6"/>
      <c r="G13" s="6"/>
      <c r="H13" s="6"/>
      <c r="J13" s="116" t="s">
        <v>99</v>
      </c>
      <c r="K13" s="4">
        <v>0.11249999999999999</v>
      </c>
      <c r="L13" s="6"/>
    </row>
    <row r="14" spans="1:12" ht="15.6">
      <c r="B14" s="6"/>
      <c r="C14" s="6"/>
      <c r="D14" s="6"/>
      <c r="E14" s="6"/>
      <c r="F14" s="6"/>
      <c r="G14" s="6"/>
      <c r="H14" s="6"/>
      <c r="J14" s="116" t="s">
        <v>100</v>
      </c>
      <c r="K14" s="4">
        <v>0.1225</v>
      </c>
      <c r="L14" s="6"/>
    </row>
    <row r="15" spans="1:12" ht="15.6">
      <c r="B15" s="6"/>
      <c r="C15" s="6"/>
      <c r="D15" s="6"/>
      <c r="E15" s="6"/>
      <c r="F15" s="6"/>
      <c r="G15" s="6"/>
      <c r="H15" s="6"/>
      <c r="J15" s="116" t="s">
        <v>101</v>
      </c>
      <c r="K15" s="4">
        <v>0.1275</v>
      </c>
      <c r="L15" s="6"/>
    </row>
    <row r="16" spans="1:12" ht="15.6">
      <c r="B16" s="6"/>
      <c r="C16" s="6"/>
      <c r="D16" s="6"/>
      <c r="E16" s="6"/>
      <c r="F16" s="6"/>
      <c r="G16" s="6"/>
      <c r="H16" s="6"/>
      <c r="J16" s="116" t="s">
        <v>102</v>
      </c>
      <c r="K16" s="4">
        <v>8.4000000000000019E-2</v>
      </c>
      <c r="L16" s="6"/>
    </row>
    <row r="17" spans="2:12" ht="15.6">
      <c r="B17" s="6"/>
      <c r="C17" s="6"/>
      <c r="D17" s="6"/>
      <c r="E17" s="6"/>
      <c r="F17" s="6"/>
      <c r="G17" s="6"/>
      <c r="H17" s="6"/>
      <c r="J17" s="116" t="s">
        <v>103</v>
      </c>
      <c r="K17" s="4">
        <v>9.4E-2</v>
      </c>
      <c r="L17" s="6"/>
    </row>
    <row r="18" spans="2:12" ht="15.6">
      <c r="B18" s="6"/>
      <c r="C18" s="6"/>
      <c r="D18" s="6"/>
      <c r="E18" s="6"/>
      <c r="F18" s="6"/>
      <c r="G18" s="6"/>
      <c r="H18" s="6"/>
      <c r="J18" s="116" t="s">
        <v>104</v>
      </c>
      <c r="K18" s="4">
        <v>0.10300000000000001</v>
      </c>
      <c r="L18" s="6"/>
    </row>
    <row r="19" spans="2:12" ht="15.6">
      <c r="J19" s="116" t="s">
        <v>105</v>
      </c>
      <c r="K19" s="4">
        <v>0.10300000000000001</v>
      </c>
      <c r="L19" s="6"/>
    </row>
    <row r="20" spans="2:12" ht="15.6">
      <c r="J20" s="116" t="s">
        <v>106</v>
      </c>
      <c r="K20" s="4">
        <v>0.11299999999999999</v>
      </c>
      <c r="L20" s="6"/>
    </row>
    <row r="21" spans="2:12" ht="15.6">
      <c r="J21" s="116" t="s">
        <v>107</v>
      </c>
      <c r="K21" s="4">
        <v>0.123</v>
      </c>
      <c r="L21" s="6"/>
    </row>
    <row r="22" spans="2:12" ht="15.6">
      <c r="J22" s="116" t="s">
        <v>108</v>
      </c>
      <c r="K22" s="4">
        <v>0.128</v>
      </c>
      <c r="L22" s="6"/>
    </row>
    <row r="23" spans="2:12" ht="15.6">
      <c r="J23" s="116" t="s">
        <v>109</v>
      </c>
      <c r="K23" s="4">
        <v>8.4000000000000019E-2</v>
      </c>
      <c r="L23" s="6"/>
    </row>
    <row r="24" spans="2:12" ht="15.6">
      <c r="J24" s="116" t="s">
        <v>110</v>
      </c>
      <c r="K24" s="4">
        <v>9.4E-2</v>
      </c>
      <c r="L24" s="6"/>
    </row>
    <row r="25" spans="2:12" ht="15.6">
      <c r="J25" s="116" t="s">
        <v>111</v>
      </c>
      <c r="K25" s="4">
        <v>0.10300000000000001</v>
      </c>
      <c r="L25" s="6"/>
    </row>
    <row r="26" spans="2:12" ht="15.6">
      <c r="J26" s="116" t="s">
        <v>112</v>
      </c>
      <c r="K26" s="4">
        <v>0.10300000000000001</v>
      </c>
      <c r="L26" s="6"/>
    </row>
    <row r="27" spans="2:12" ht="15.6">
      <c r="J27" s="116" t="s">
        <v>113</v>
      </c>
      <c r="K27" s="4">
        <v>0.11299999999999999</v>
      </c>
      <c r="L27" s="6"/>
    </row>
    <row r="28" spans="2:12" ht="15.6">
      <c r="J28" s="116" t="s">
        <v>114</v>
      </c>
      <c r="K28" s="4">
        <v>0.123</v>
      </c>
      <c r="L28" s="6"/>
    </row>
    <row r="29" spans="2:12" ht="15.6">
      <c r="J29" s="116" t="s">
        <v>115</v>
      </c>
      <c r="K29" s="4">
        <v>0.128</v>
      </c>
      <c r="L29" s="6"/>
    </row>
    <row r="30" spans="2:12" ht="15.6">
      <c r="J30" s="116" t="s">
        <v>116</v>
      </c>
      <c r="K30" s="4">
        <v>8.450000000000002E-2</v>
      </c>
      <c r="L30" s="6"/>
    </row>
    <row r="31" spans="2:12" ht="15.6">
      <c r="J31" s="116" t="s">
        <v>117</v>
      </c>
      <c r="K31" s="4">
        <v>9.4500000000000001E-2</v>
      </c>
      <c r="L31" s="6"/>
    </row>
    <row r="32" spans="2:12" ht="15.6">
      <c r="J32" s="116" t="s">
        <v>118</v>
      </c>
      <c r="K32" s="4">
        <v>0.10350000000000001</v>
      </c>
      <c r="L32" s="6"/>
    </row>
    <row r="33" spans="10:12" ht="15.6">
      <c r="J33" s="116" t="s">
        <v>119</v>
      </c>
      <c r="K33" s="4">
        <v>0.10350000000000001</v>
      </c>
      <c r="L33" s="6"/>
    </row>
    <row r="34" spans="10:12" ht="15.6">
      <c r="J34" s="116" t="s">
        <v>120</v>
      </c>
      <c r="K34" s="4">
        <v>0.11349999999999999</v>
      </c>
      <c r="L34" s="6"/>
    </row>
    <row r="35" spans="10:12" ht="15.6">
      <c r="J35" s="116" t="s">
        <v>121</v>
      </c>
      <c r="K35" s="4">
        <v>0.1235</v>
      </c>
      <c r="L35" s="6"/>
    </row>
    <row r="36" spans="10:12" ht="15.6">
      <c r="J36" s="116" t="s">
        <v>122</v>
      </c>
      <c r="K36" s="4">
        <v>0.1285</v>
      </c>
      <c r="L36" s="6"/>
    </row>
    <row r="37" spans="10:12" ht="15.6">
      <c r="J37" s="116" t="s">
        <v>123</v>
      </c>
      <c r="K37" s="4">
        <v>8.450000000000002E-2</v>
      </c>
      <c r="L37" s="6"/>
    </row>
    <row r="38" spans="10:12" ht="15.6">
      <c r="J38" s="116" t="s">
        <v>124</v>
      </c>
      <c r="K38" s="4">
        <v>9.4500000000000001E-2</v>
      </c>
      <c r="L38" s="6"/>
    </row>
    <row r="39" spans="10:12" ht="15.6">
      <c r="J39" s="116" t="s">
        <v>125</v>
      </c>
      <c r="K39" s="4">
        <v>0.10350000000000001</v>
      </c>
      <c r="L39" s="6"/>
    </row>
    <row r="40" spans="10:12" ht="15.6">
      <c r="J40" s="116" t="s">
        <v>126</v>
      </c>
      <c r="K40" s="4">
        <v>0.10350000000000001</v>
      </c>
      <c r="L40" s="6"/>
    </row>
    <row r="41" spans="10:12" ht="15.6">
      <c r="J41" s="116" t="s">
        <v>127</v>
      </c>
      <c r="K41" s="4">
        <v>8.450000000000002E-2</v>
      </c>
      <c r="L41" s="6"/>
    </row>
    <row r="42" spans="10:12" ht="15.6">
      <c r="J42" s="116" t="s">
        <v>128</v>
      </c>
      <c r="K42" s="4">
        <v>9.4500000000000001E-2</v>
      </c>
      <c r="L42" s="6"/>
    </row>
    <row r="43" spans="10:12" ht="15.6">
      <c r="J43" s="116" t="s">
        <v>129</v>
      </c>
      <c r="K43" s="4">
        <v>0.10350000000000001</v>
      </c>
      <c r="L43" s="6"/>
    </row>
  </sheetData>
  <mergeCells count="1">
    <mergeCell ref="A1:H1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G10" sqref="G10"/>
    </sheetView>
  </sheetViews>
  <sheetFormatPr defaultColWidth="10.88671875" defaultRowHeight="13.8"/>
  <cols>
    <col min="1" max="7" width="10.88671875" style="100"/>
    <col min="8" max="8" width="10.88671875" style="100" customWidth="1"/>
    <col min="9" max="13" width="10.88671875" style="100"/>
    <col min="14" max="14" width="10.88671875" style="100" customWidth="1"/>
    <col min="15" max="15" width="19.44140625" style="143" customWidth="1"/>
    <col min="16" max="16" width="20.109375" style="144" customWidth="1"/>
    <col min="17" max="24" width="10.88671875" style="100" customWidth="1"/>
    <col min="25" max="16384" width="10.88671875" style="100"/>
  </cols>
  <sheetData>
    <row r="1" spans="1:24" ht="30" customHeight="1">
      <c r="A1" s="158" t="s">
        <v>147</v>
      </c>
      <c r="B1" s="159"/>
      <c r="C1" s="159"/>
      <c r="D1" s="159"/>
      <c r="E1" s="159"/>
      <c r="F1" s="159"/>
      <c r="G1" s="159"/>
      <c r="H1" s="117"/>
      <c r="I1" s="139" t="s">
        <v>80</v>
      </c>
      <c r="J1" s="140" t="s">
        <v>23</v>
      </c>
      <c r="K1" s="140" t="s">
        <v>166</v>
      </c>
      <c r="L1" s="140" t="s">
        <v>144</v>
      </c>
      <c r="M1" s="141" t="s">
        <v>81</v>
      </c>
      <c r="N1" s="131"/>
      <c r="O1" s="145" t="s">
        <v>165</v>
      </c>
      <c r="P1" s="146" t="s">
        <v>164</v>
      </c>
      <c r="Q1" s="133" t="s">
        <v>157</v>
      </c>
      <c r="R1" s="134" t="s">
        <v>158</v>
      </c>
      <c r="S1" s="134" t="s">
        <v>18</v>
      </c>
      <c r="T1" s="134" t="s">
        <v>159</v>
      </c>
      <c r="U1" s="134" t="s">
        <v>160</v>
      </c>
      <c r="V1" s="134" t="s">
        <v>161</v>
      </c>
      <c r="W1" s="134" t="s">
        <v>162</v>
      </c>
      <c r="X1" s="135" t="s">
        <v>163</v>
      </c>
    </row>
    <row r="2" spans="1:24" ht="15.6">
      <c r="A2" s="1" t="s">
        <v>130</v>
      </c>
      <c r="B2" s="2">
        <v>6</v>
      </c>
      <c r="C2" s="2">
        <v>12</v>
      </c>
      <c r="D2" s="2">
        <v>18</v>
      </c>
      <c r="E2" s="2">
        <v>24</v>
      </c>
      <c r="F2" s="2">
        <v>36</v>
      </c>
      <c r="G2" s="3">
        <v>48</v>
      </c>
      <c r="H2" s="117"/>
      <c r="I2" s="123" t="s">
        <v>167</v>
      </c>
      <c r="J2" s="130">
        <v>4.7E-2</v>
      </c>
      <c r="K2" s="130">
        <v>3.4500000000000003E-2</v>
      </c>
      <c r="L2" s="130">
        <v>6.2E-2</v>
      </c>
      <c r="M2" s="4">
        <v>9.2999999999999999E-2</v>
      </c>
      <c r="N2" s="131"/>
      <c r="O2" s="147">
        <f>ROUND((ROUND(PMT(S2,Q2,-R2),2)*Q2-R2+T2+U2)/R2/Q2*12,10)</f>
        <v>0.27038400000000001</v>
      </c>
      <c r="P2" s="148">
        <f>ROUND((ROUND(PMT(S2,Q2,-X2),2)*Q2-R2)/R2/Q2*12,4)</f>
        <v>0.27610000000000001</v>
      </c>
      <c r="Q2" s="136">
        <v>6</v>
      </c>
      <c r="R2" s="136">
        <v>10000</v>
      </c>
      <c r="S2" s="136">
        <f t="shared" ref="S2:S36" si="0">(1+M2)^(1/12)-1</f>
        <v>7.4380432687306541E-3</v>
      </c>
      <c r="T2" s="136">
        <f t="shared" ref="T2:T7" si="1">R2*J2</f>
        <v>470</v>
      </c>
      <c r="U2" s="136">
        <f t="shared" ref="U2:U7" si="2">R2*L2</f>
        <v>620</v>
      </c>
      <c r="V2" s="136">
        <f t="shared" ref="V2" si="3">K2*R2</f>
        <v>345.00000000000006</v>
      </c>
      <c r="W2" s="136">
        <f>T2+U2</f>
        <v>1090</v>
      </c>
      <c r="X2" s="137">
        <f>R2+W2</f>
        <v>11090</v>
      </c>
    </row>
    <row r="3" spans="1:24" ht="15.6">
      <c r="A3" s="123" t="s">
        <v>76</v>
      </c>
      <c r="B3" s="130">
        <v>4.7E-2</v>
      </c>
      <c r="C3" s="130">
        <v>2.3199999999999998E-2</v>
      </c>
      <c r="D3" s="130">
        <v>7.8999999999999987E-2</v>
      </c>
      <c r="E3" s="130">
        <v>8.9400000000000007E-2</v>
      </c>
      <c r="F3" s="130">
        <v>0.10679999999999995</v>
      </c>
      <c r="G3" s="130">
        <v>0.14999999999999991</v>
      </c>
      <c r="H3" s="149"/>
      <c r="I3" s="123" t="s">
        <v>90</v>
      </c>
      <c r="J3" s="130">
        <v>2.3199999999999998E-2</v>
      </c>
      <c r="K3" s="130">
        <v>4.3900000000000002E-2</v>
      </c>
      <c r="L3" s="130">
        <v>0.12529999999999999</v>
      </c>
      <c r="M3" s="4">
        <v>0.10200000000000001</v>
      </c>
      <c r="N3" s="132"/>
      <c r="O3" s="147">
        <f>ROUND((ROUND(PMT(S3,Q3,-R3),2)*Q3-R3+T3+U3)/R3/Q3*12,10)</f>
        <v>0.20211200000000001</v>
      </c>
      <c r="P3" s="148">
        <f>ROUND((ROUND(PMT(S3,Q3,-X3),2)*Q3-R3)/R3/Q3*12,4)</f>
        <v>0.21010000000000001</v>
      </c>
      <c r="Q3" s="136">
        <v>12</v>
      </c>
      <c r="R3" s="136">
        <v>10000</v>
      </c>
      <c r="S3" s="136">
        <f t="shared" si="0"/>
        <v>8.1267366616946113E-3</v>
      </c>
      <c r="T3" s="136">
        <f t="shared" si="1"/>
        <v>231.99999999999997</v>
      </c>
      <c r="U3" s="136">
        <f t="shared" si="2"/>
        <v>1253</v>
      </c>
      <c r="V3" s="136">
        <f t="shared" ref="V3:V7" si="4">K3*R3</f>
        <v>439</v>
      </c>
      <c r="W3" s="136">
        <f>T3+U3</f>
        <v>1485</v>
      </c>
      <c r="X3" s="137">
        <f>R3+W3</f>
        <v>11485</v>
      </c>
    </row>
    <row r="4" spans="1:24" ht="15.6">
      <c r="A4" s="124" t="s">
        <v>37</v>
      </c>
      <c r="B4" s="130">
        <v>6.1100000000000002E-2</v>
      </c>
      <c r="C4" s="130">
        <v>4.1899999999999993E-2</v>
      </c>
      <c r="D4" s="130">
        <v>0.12070000000000003</v>
      </c>
      <c r="E4" s="130">
        <v>0.14770000000000005</v>
      </c>
      <c r="F4" s="130">
        <v>0.21460000000000001</v>
      </c>
      <c r="G4" s="130">
        <v>0.27770000000000006</v>
      </c>
      <c r="H4" s="149"/>
      <c r="I4" s="123" t="s">
        <v>91</v>
      </c>
      <c r="J4" s="130">
        <v>7.9000000000000001E-2</v>
      </c>
      <c r="K4" s="130">
        <v>8.8900000000000007E-2</v>
      </c>
      <c r="L4" s="130">
        <v>0.13400000000000001</v>
      </c>
      <c r="M4" s="4">
        <v>0.10200000000000001</v>
      </c>
      <c r="N4" s="132"/>
      <c r="O4" s="147">
        <f t="shared" ref="O4:O36" si="5">ROUND((ROUND(PMT(S4,Q4,-R4),2)*Q4-R4+T4+U4)/R4/Q4*12,10)</f>
        <v>0.1946493333</v>
      </c>
      <c r="P4" s="148">
        <f t="shared" ref="P4:P36" si="6">ROUND((ROUND(PMT(S4,Q4,-X4),2)*Q4-R4)/R4/Q4*12,10)</f>
        <v>0.20586533330000001</v>
      </c>
      <c r="Q4" s="136">
        <v>18</v>
      </c>
      <c r="R4" s="136">
        <v>10000</v>
      </c>
      <c r="S4" s="136">
        <f t="shared" si="0"/>
        <v>8.1267366616946113E-3</v>
      </c>
      <c r="T4" s="136">
        <f t="shared" si="1"/>
        <v>790</v>
      </c>
      <c r="U4" s="136">
        <f t="shared" si="2"/>
        <v>1340</v>
      </c>
      <c r="V4" s="136">
        <f t="shared" si="4"/>
        <v>889.00000000000011</v>
      </c>
      <c r="W4" s="136">
        <f t="shared" ref="W4:W7" si="7">T4+U4</f>
        <v>2130</v>
      </c>
      <c r="X4" s="137">
        <f t="shared" ref="X4:X7" si="8">R4+W4</f>
        <v>12130</v>
      </c>
    </row>
    <row r="5" spans="1:24" ht="15.6">
      <c r="A5" s="125" t="s">
        <v>83</v>
      </c>
      <c r="B5" s="130">
        <v>5.8200000000000002E-2</v>
      </c>
      <c r="C5" s="130">
        <v>4.8700000000000021E-2</v>
      </c>
      <c r="D5" s="130">
        <v>0.14000000000000001</v>
      </c>
      <c r="E5" s="130">
        <v>0.16659999999999997</v>
      </c>
      <c r="F5" s="130">
        <v>0.23660000000000003</v>
      </c>
      <c r="G5" s="130">
        <v>0.29610000000000014</v>
      </c>
      <c r="H5" s="149"/>
      <c r="I5" s="123" t="s">
        <v>92</v>
      </c>
      <c r="J5" s="130">
        <v>8.9399999999999993E-2</v>
      </c>
      <c r="K5" s="130">
        <v>9.7000000000000003E-2</v>
      </c>
      <c r="L5" s="130">
        <v>0.1817</v>
      </c>
      <c r="M5" s="4">
        <v>0.11199999999999999</v>
      </c>
      <c r="N5" s="132"/>
      <c r="O5" s="147">
        <f t="shared" si="5"/>
        <v>0.19297400000000001</v>
      </c>
      <c r="P5" s="148">
        <f t="shared" si="6"/>
        <v>0.20854</v>
      </c>
      <c r="Q5" s="136">
        <v>24</v>
      </c>
      <c r="R5" s="136">
        <v>10000</v>
      </c>
      <c r="S5" s="136">
        <f t="shared" si="0"/>
        <v>8.8859305371316033E-3</v>
      </c>
      <c r="T5" s="136">
        <f t="shared" si="1"/>
        <v>893.99999999999989</v>
      </c>
      <c r="U5" s="136">
        <f t="shared" si="2"/>
        <v>1817</v>
      </c>
      <c r="V5" s="136">
        <f t="shared" si="4"/>
        <v>970</v>
      </c>
      <c r="W5" s="136">
        <f t="shared" si="7"/>
        <v>2711</v>
      </c>
      <c r="X5" s="137">
        <f t="shared" si="8"/>
        <v>12711</v>
      </c>
    </row>
    <row r="6" spans="1:24" ht="16.8">
      <c r="A6" s="126" t="s">
        <v>84</v>
      </c>
      <c r="B6" s="130">
        <v>5.3800000000000001E-2</v>
      </c>
      <c r="C6" s="130">
        <v>5.5800000000000016E-2</v>
      </c>
      <c r="D6" s="130">
        <v>0.13850000000000001</v>
      </c>
      <c r="E6" s="130">
        <v>0.16349999999999998</v>
      </c>
      <c r="F6" s="130">
        <v>0.23639999999999994</v>
      </c>
      <c r="G6" s="99"/>
      <c r="H6" s="149"/>
      <c r="I6" s="123" t="s">
        <v>93</v>
      </c>
      <c r="J6" s="130">
        <v>0.10680000000000001</v>
      </c>
      <c r="K6" s="130">
        <v>0.11119999999999999</v>
      </c>
      <c r="L6" s="130">
        <v>0.28089999999999998</v>
      </c>
      <c r="M6" s="4">
        <v>0.122</v>
      </c>
      <c r="N6" s="132"/>
      <c r="O6" s="147">
        <f t="shared" si="5"/>
        <v>0.191996</v>
      </c>
      <c r="P6" s="148">
        <f t="shared" si="6"/>
        <v>0.2163266667</v>
      </c>
      <c r="Q6" s="136">
        <v>36</v>
      </c>
      <c r="R6" s="136">
        <v>10000</v>
      </c>
      <c r="S6" s="136">
        <f t="shared" si="0"/>
        <v>9.6388916720551165E-3</v>
      </c>
      <c r="T6" s="136">
        <f t="shared" si="1"/>
        <v>1068</v>
      </c>
      <c r="U6" s="136">
        <f t="shared" si="2"/>
        <v>2809</v>
      </c>
      <c r="V6" s="136">
        <f t="shared" si="4"/>
        <v>1112</v>
      </c>
      <c r="W6" s="136">
        <f t="shared" si="7"/>
        <v>3877</v>
      </c>
      <c r="X6" s="137">
        <f t="shared" si="8"/>
        <v>13877</v>
      </c>
    </row>
    <row r="7" spans="1:24" ht="16.8">
      <c r="A7" s="127" t="s">
        <v>85</v>
      </c>
      <c r="B7" s="130">
        <v>4.6300000000000001E-2</v>
      </c>
      <c r="C7" s="130">
        <v>4.7699999999999992E-2</v>
      </c>
      <c r="D7" s="130">
        <v>0.14589999999999997</v>
      </c>
      <c r="E7" s="130">
        <v>0.15649999999999997</v>
      </c>
      <c r="F7" s="99"/>
      <c r="G7" s="99"/>
      <c r="H7" s="149"/>
      <c r="I7" s="123" t="s">
        <v>94</v>
      </c>
      <c r="J7" s="130">
        <v>0.15</v>
      </c>
      <c r="K7" s="130">
        <v>0.1132</v>
      </c>
      <c r="L7" s="130">
        <v>0.35260000000000002</v>
      </c>
      <c r="M7" s="4">
        <v>0.127</v>
      </c>
      <c r="N7" s="132"/>
      <c r="O7" s="147">
        <f t="shared" si="5"/>
        <v>0.19175400000000001</v>
      </c>
      <c r="P7" s="148">
        <f t="shared" si="6"/>
        <v>0.22497200000000001</v>
      </c>
      <c r="Q7" s="136">
        <v>48</v>
      </c>
      <c r="R7" s="136">
        <v>10000</v>
      </c>
      <c r="S7" s="136">
        <f t="shared" si="0"/>
        <v>1.0013068206861098E-2</v>
      </c>
      <c r="T7" s="136">
        <f t="shared" si="1"/>
        <v>1500</v>
      </c>
      <c r="U7" s="136">
        <f t="shared" si="2"/>
        <v>3526.0000000000005</v>
      </c>
      <c r="V7" s="136">
        <f t="shared" si="4"/>
        <v>1132</v>
      </c>
      <c r="W7" s="136">
        <f t="shared" si="7"/>
        <v>5026</v>
      </c>
      <c r="X7" s="137">
        <f t="shared" si="8"/>
        <v>15026</v>
      </c>
    </row>
    <row r="8" spans="1:24" ht="16.8">
      <c r="A8" s="128" t="s">
        <v>86</v>
      </c>
      <c r="B8" s="130">
        <v>3.8899999999999997E-2</v>
      </c>
      <c r="C8" s="130">
        <v>3.3000000000000002E-2</v>
      </c>
      <c r="D8" s="130">
        <v>0.11070000000000001</v>
      </c>
      <c r="E8" s="130">
        <v>0.1089</v>
      </c>
      <c r="F8" s="99"/>
      <c r="G8" s="99"/>
      <c r="H8" s="149"/>
      <c r="I8" s="124" t="s">
        <v>168</v>
      </c>
      <c r="J8" s="130">
        <v>6.1100000000000002E-2</v>
      </c>
      <c r="K8" s="130">
        <v>4.1300000000000003E-2</v>
      </c>
      <c r="L8" s="130">
        <v>8.8499999999999995E-2</v>
      </c>
      <c r="M8" s="4">
        <v>9.35E-2</v>
      </c>
      <c r="N8" s="132"/>
      <c r="O8" s="147">
        <f t="shared" ref="O8:O34" si="9">ROUND((ROUND(PMT(S8,Q8,-R8),2)*Q8-R8+T8+U8)/R8/Q8*12,10)</f>
        <v>0.35186000000000001</v>
      </c>
      <c r="P8" s="148">
        <f t="shared" ref="P8:P34" si="10">ROUND((ROUND(PMT(S8,Q8,-X8),2)*Q8-R8)/R8/Q8*12,10)</f>
        <v>0.35974</v>
      </c>
      <c r="Q8" s="150">
        <v>6</v>
      </c>
      <c r="R8" s="136">
        <v>10000</v>
      </c>
      <c r="S8" s="136">
        <f t="shared" si="0"/>
        <v>7.4764401457467766E-3</v>
      </c>
      <c r="T8" s="136">
        <f t="shared" ref="T8:T36" si="11">R8*J8</f>
        <v>611</v>
      </c>
      <c r="U8" s="136">
        <f t="shared" ref="U8:U36" si="12">R8*L8</f>
        <v>885</v>
      </c>
      <c r="V8" s="136">
        <f t="shared" ref="V8:V36" si="13">K8*R8</f>
        <v>413.00000000000006</v>
      </c>
      <c r="W8" s="136">
        <f t="shared" ref="W8:W36" si="14">T8+U8</f>
        <v>1496</v>
      </c>
      <c r="X8" s="137">
        <f t="shared" ref="X8:X36" si="15">R8+W8</f>
        <v>11496</v>
      </c>
    </row>
    <row r="9" spans="1:24" ht="16.8">
      <c r="A9" s="129" t="s">
        <v>87</v>
      </c>
      <c r="B9" s="130">
        <v>3.1600000000000003E-2</v>
      </c>
      <c r="C9" s="130">
        <v>1.8100000000000002E-2</v>
      </c>
      <c r="D9" s="130">
        <v>8.8999999999999996E-2</v>
      </c>
      <c r="E9" s="130">
        <v>8.5099999999999898E-2</v>
      </c>
      <c r="F9" s="99"/>
      <c r="G9" s="99"/>
      <c r="H9" s="149"/>
      <c r="I9" s="124" t="s">
        <v>97</v>
      </c>
      <c r="J9" s="130">
        <v>4.19E-2</v>
      </c>
      <c r="K9" s="130">
        <v>5.8999999999999997E-2</v>
      </c>
      <c r="L9" s="130">
        <v>0.2485</v>
      </c>
      <c r="M9" s="4">
        <v>0.10250000000000001</v>
      </c>
      <c r="N9" s="132"/>
      <c r="O9" s="147">
        <f t="shared" si="9"/>
        <v>0.34426400000000001</v>
      </c>
      <c r="P9" s="148">
        <f t="shared" si="10"/>
        <v>0.3599</v>
      </c>
      <c r="Q9" s="136">
        <v>12</v>
      </c>
      <c r="R9" s="136">
        <v>10000</v>
      </c>
      <c r="S9" s="136">
        <f t="shared" si="0"/>
        <v>8.1648460519010424E-3</v>
      </c>
      <c r="T9" s="136">
        <f t="shared" si="11"/>
        <v>419</v>
      </c>
      <c r="U9" s="136">
        <f t="shared" si="12"/>
        <v>2485</v>
      </c>
      <c r="V9" s="136">
        <f t="shared" si="13"/>
        <v>590</v>
      </c>
      <c r="W9" s="136">
        <f t="shared" si="14"/>
        <v>2904</v>
      </c>
      <c r="X9" s="137">
        <f t="shared" si="15"/>
        <v>12904</v>
      </c>
    </row>
    <row r="10" spans="1:24" ht="16.2" thickBot="1">
      <c r="A10" s="117"/>
      <c r="B10" s="117"/>
      <c r="C10" s="117"/>
      <c r="D10" s="117"/>
      <c r="E10" s="117"/>
      <c r="F10" s="117"/>
      <c r="G10" s="117"/>
      <c r="H10" s="117"/>
      <c r="I10" s="124" t="s">
        <v>98</v>
      </c>
      <c r="J10" s="130">
        <v>0.1207</v>
      </c>
      <c r="K10" s="130">
        <v>0.112</v>
      </c>
      <c r="L10" s="130">
        <v>0.30599999999999999</v>
      </c>
      <c r="M10" s="4">
        <v>0.10250000000000001</v>
      </c>
      <c r="N10" s="132"/>
      <c r="O10" s="147">
        <f t="shared" si="9"/>
        <v>0.337368</v>
      </c>
      <c r="P10" s="148">
        <f t="shared" si="10"/>
        <v>0.3599453333</v>
      </c>
      <c r="Q10" s="136">
        <v>18</v>
      </c>
      <c r="R10" s="136">
        <v>10000</v>
      </c>
      <c r="S10" s="136">
        <f t="shared" si="0"/>
        <v>8.1648460519010424E-3</v>
      </c>
      <c r="T10" s="136">
        <f t="shared" si="11"/>
        <v>1207</v>
      </c>
      <c r="U10" s="136">
        <f t="shared" si="12"/>
        <v>3060</v>
      </c>
      <c r="V10" s="136">
        <f t="shared" si="13"/>
        <v>1120</v>
      </c>
      <c r="W10" s="136">
        <f t="shared" si="14"/>
        <v>4267</v>
      </c>
      <c r="X10" s="137">
        <f t="shared" si="15"/>
        <v>14267</v>
      </c>
    </row>
    <row r="11" spans="1:24" ht="15.6">
      <c r="A11" s="158" t="s">
        <v>143</v>
      </c>
      <c r="B11" s="159"/>
      <c r="C11" s="159"/>
      <c r="D11" s="159"/>
      <c r="E11" s="159"/>
      <c r="F11" s="159"/>
      <c r="G11" s="159"/>
      <c r="H11" s="117"/>
      <c r="I11" s="124" t="s">
        <v>99</v>
      </c>
      <c r="J11" s="130">
        <v>0.1477</v>
      </c>
      <c r="K11" s="130">
        <v>0.1138</v>
      </c>
      <c r="L11" s="130">
        <v>0.39439999999999997</v>
      </c>
      <c r="M11" s="4">
        <v>0.11249999999999999</v>
      </c>
      <c r="N11" s="132"/>
      <c r="O11" s="147">
        <f t="shared" si="9"/>
        <v>0.32872600000000002</v>
      </c>
      <c r="P11" s="148">
        <f t="shared" si="10"/>
        <v>0.35998000000000002</v>
      </c>
      <c r="Q11" s="136">
        <v>24</v>
      </c>
      <c r="R11" s="136">
        <v>10000</v>
      </c>
      <c r="S11" s="136">
        <f t="shared" si="0"/>
        <v>8.9237257287477778E-3</v>
      </c>
      <c r="T11" s="136">
        <f t="shared" si="11"/>
        <v>1477</v>
      </c>
      <c r="U11" s="136">
        <f t="shared" si="12"/>
        <v>3943.9999999999995</v>
      </c>
      <c r="V11" s="136">
        <f t="shared" si="13"/>
        <v>1138</v>
      </c>
      <c r="W11" s="136">
        <f t="shared" si="14"/>
        <v>5421</v>
      </c>
      <c r="X11" s="137">
        <f t="shared" si="15"/>
        <v>15421</v>
      </c>
    </row>
    <row r="12" spans="1:24" ht="15.6">
      <c r="A12" s="1" t="s">
        <v>130</v>
      </c>
      <c r="B12" s="2">
        <v>6</v>
      </c>
      <c r="C12" s="2">
        <v>12</v>
      </c>
      <c r="D12" s="2">
        <v>18</v>
      </c>
      <c r="E12" s="2">
        <v>24</v>
      </c>
      <c r="F12" s="2">
        <v>36</v>
      </c>
      <c r="G12" s="3">
        <v>48</v>
      </c>
      <c r="H12" s="117"/>
      <c r="I12" s="124" t="s">
        <v>100</v>
      </c>
      <c r="J12" s="130">
        <v>0.21460000000000001</v>
      </c>
      <c r="K12" s="130">
        <v>0.1179</v>
      </c>
      <c r="L12" s="130">
        <v>0.53459999999999996</v>
      </c>
      <c r="M12" s="4">
        <v>0.1225</v>
      </c>
      <c r="N12" s="132"/>
      <c r="O12" s="147">
        <f t="shared" si="9"/>
        <v>0.31274800000000003</v>
      </c>
      <c r="P12" s="148">
        <f t="shared" si="10"/>
        <v>0.35996666669999999</v>
      </c>
      <c r="Q12" s="136">
        <v>36</v>
      </c>
      <c r="R12" s="136">
        <v>10000</v>
      </c>
      <c r="S12" s="136">
        <f t="shared" si="0"/>
        <v>9.6763780332134175E-3</v>
      </c>
      <c r="T12" s="136">
        <f t="shared" si="11"/>
        <v>2146</v>
      </c>
      <c r="U12" s="136">
        <f t="shared" si="12"/>
        <v>5346</v>
      </c>
      <c r="V12" s="136">
        <f t="shared" si="13"/>
        <v>1179</v>
      </c>
      <c r="W12" s="136">
        <f t="shared" si="14"/>
        <v>7492</v>
      </c>
      <c r="X12" s="137">
        <f t="shared" si="15"/>
        <v>17492</v>
      </c>
    </row>
    <row r="13" spans="1:24" ht="15.6">
      <c r="A13" s="123" t="s">
        <v>76</v>
      </c>
      <c r="B13" s="130">
        <v>6.2E-2</v>
      </c>
      <c r="C13" s="130">
        <v>0.12529999999999999</v>
      </c>
      <c r="D13" s="130">
        <v>0.13400000000000001</v>
      </c>
      <c r="E13" s="130">
        <v>0.1817</v>
      </c>
      <c r="F13" s="130">
        <v>0.28089999999999998</v>
      </c>
      <c r="G13" s="130">
        <v>0.35260000000000002</v>
      </c>
      <c r="H13" s="149"/>
      <c r="I13" s="124" t="s">
        <v>101</v>
      </c>
      <c r="J13" s="130">
        <v>0.2777</v>
      </c>
      <c r="K13" s="130">
        <v>0.1193</v>
      </c>
      <c r="L13" s="130">
        <v>0.65039999999999998</v>
      </c>
      <c r="M13" s="4">
        <v>0.1275</v>
      </c>
      <c r="N13" s="132"/>
      <c r="O13" s="147">
        <f t="shared" si="9"/>
        <v>0.29839300000000002</v>
      </c>
      <c r="P13" s="148">
        <f t="shared" si="10"/>
        <v>0.35998400000000003</v>
      </c>
      <c r="Q13" s="136">
        <v>48</v>
      </c>
      <c r="R13" s="136">
        <v>10000</v>
      </c>
      <c r="S13" s="136">
        <f t="shared" si="0"/>
        <v>1.0050402122422808E-2</v>
      </c>
      <c r="T13" s="136">
        <f t="shared" si="11"/>
        <v>2777</v>
      </c>
      <c r="U13" s="136">
        <f t="shared" si="12"/>
        <v>6504</v>
      </c>
      <c r="V13" s="136">
        <f t="shared" si="13"/>
        <v>1193</v>
      </c>
      <c r="W13" s="136">
        <f t="shared" si="14"/>
        <v>9281</v>
      </c>
      <c r="X13" s="137">
        <f t="shared" si="15"/>
        <v>19281</v>
      </c>
    </row>
    <row r="14" spans="1:24" ht="15.6">
      <c r="A14" s="124" t="s">
        <v>37</v>
      </c>
      <c r="B14" s="130">
        <v>8.8499999999999995E-2</v>
      </c>
      <c r="C14" s="130">
        <v>0.2485</v>
      </c>
      <c r="D14" s="130">
        <v>0.30599999999999999</v>
      </c>
      <c r="E14" s="130">
        <v>0.39439999999999997</v>
      </c>
      <c r="F14" s="130">
        <v>0.53459999999999996</v>
      </c>
      <c r="G14" s="130">
        <v>0.65039999999999998</v>
      </c>
      <c r="H14" s="149"/>
      <c r="I14" s="125" t="s">
        <v>169</v>
      </c>
      <c r="J14" s="130">
        <v>5.8200000000000002E-2</v>
      </c>
      <c r="K14" s="130">
        <v>5.0099999999999999E-2</v>
      </c>
      <c r="L14" s="130">
        <v>9.1299999999999992E-2</v>
      </c>
      <c r="M14" s="4">
        <v>9.4E-2</v>
      </c>
      <c r="N14" s="132"/>
      <c r="O14" s="147">
        <f t="shared" si="9"/>
        <v>0.35193600000000003</v>
      </c>
      <c r="P14" s="148">
        <f t="shared" si="10"/>
        <v>0.359848</v>
      </c>
      <c r="Q14" s="150">
        <v>6</v>
      </c>
      <c r="R14" s="136">
        <v>10000</v>
      </c>
      <c r="S14" s="136">
        <f t="shared" si="0"/>
        <v>7.5148209323356863E-3</v>
      </c>
      <c r="T14" s="136">
        <f t="shared" si="11"/>
        <v>582</v>
      </c>
      <c r="U14" s="136">
        <f t="shared" si="12"/>
        <v>912.99999999999989</v>
      </c>
      <c r="V14" s="136">
        <f t="shared" si="13"/>
        <v>501</v>
      </c>
      <c r="W14" s="136">
        <f t="shared" si="14"/>
        <v>1495</v>
      </c>
      <c r="X14" s="137">
        <f t="shared" si="15"/>
        <v>11495</v>
      </c>
    </row>
    <row r="15" spans="1:24" ht="15.6">
      <c r="A15" s="125" t="s">
        <v>83</v>
      </c>
      <c r="B15" s="130">
        <v>9.1299999999999992E-2</v>
      </c>
      <c r="C15" s="130">
        <v>0.2414</v>
      </c>
      <c r="D15" s="130">
        <v>0.28620000000000001</v>
      </c>
      <c r="E15" s="130">
        <v>0.37480000000000002</v>
      </c>
      <c r="F15" s="130">
        <v>0.51149999999999995</v>
      </c>
      <c r="G15" s="130">
        <v>0.63039999999999996</v>
      </c>
      <c r="H15" s="149"/>
      <c r="I15" s="125" t="s">
        <v>104</v>
      </c>
      <c r="J15" s="130">
        <v>4.87E-2</v>
      </c>
      <c r="K15" s="130">
        <v>7.6899999999999996E-2</v>
      </c>
      <c r="L15" s="130">
        <v>0.2414</v>
      </c>
      <c r="M15" s="4">
        <v>0.10300000000000001</v>
      </c>
      <c r="N15" s="132"/>
      <c r="O15" s="147">
        <f t="shared" si="9"/>
        <v>0.34421600000000002</v>
      </c>
      <c r="P15" s="148">
        <f t="shared" si="10"/>
        <v>0.35991200000000001</v>
      </c>
      <c r="Q15" s="136">
        <v>12</v>
      </c>
      <c r="R15" s="136">
        <v>10000</v>
      </c>
      <c r="S15" s="136">
        <f t="shared" si="0"/>
        <v>8.2029396024936307E-3</v>
      </c>
      <c r="T15" s="136">
        <f t="shared" si="11"/>
        <v>487</v>
      </c>
      <c r="U15" s="136">
        <f t="shared" si="12"/>
        <v>2414</v>
      </c>
      <c r="V15" s="136">
        <f t="shared" si="13"/>
        <v>769</v>
      </c>
      <c r="W15" s="136">
        <f t="shared" si="14"/>
        <v>2901</v>
      </c>
      <c r="X15" s="137">
        <f t="shared" si="15"/>
        <v>12901</v>
      </c>
    </row>
    <row r="16" spans="1:24" ht="16.8">
      <c r="A16" s="126" t="s">
        <v>84</v>
      </c>
      <c r="B16" s="130">
        <v>9.5699999999999993E-2</v>
      </c>
      <c r="C16" s="130">
        <v>0.23430000000000001</v>
      </c>
      <c r="D16" s="130">
        <v>0.28770000000000001</v>
      </c>
      <c r="E16" s="130">
        <v>0.37790000000000001</v>
      </c>
      <c r="F16" s="130">
        <v>0.51170000000000004</v>
      </c>
      <c r="G16" s="99"/>
      <c r="H16" s="149"/>
      <c r="I16" s="125" t="s">
        <v>105</v>
      </c>
      <c r="J16" s="130">
        <v>0.14000000000000001</v>
      </c>
      <c r="K16" s="130">
        <v>0.13339999999999999</v>
      </c>
      <c r="L16" s="130">
        <v>0.28620000000000001</v>
      </c>
      <c r="M16" s="4">
        <v>0.10300000000000001</v>
      </c>
      <c r="N16" s="132"/>
      <c r="O16" s="147">
        <f t="shared" si="9"/>
        <v>0.33728666670000002</v>
      </c>
      <c r="P16" s="148">
        <f t="shared" si="10"/>
        <v>0.3599453333</v>
      </c>
      <c r="Q16" s="136">
        <v>18</v>
      </c>
      <c r="R16" s="136">
        <v>10000</v>
      </c>
      <c r="S16" s="136">
        <f t="shared" si="0"/>
        <v>8.2029396024936307E-3</v>
      </c>
      <c r="T16" s="136">
        <f t="shared" si="11"/>
        <v>1400.0000000000002</v>
      </c>
      <c r="U16" s="136">
        <f t="shared" si="12"/>
        <v>2862</v>
      </c>
      <c r="V16" s="136">
        <f t="shared" si="13"/>
        <v>1334</v>
      </c>
      <c r="W16" s="136">
        <f t="shared" si="14"/>
        <v>4262</v>
      </c>
      <c r="X16" s="137">
        <f t="shared" si="15"/>
        <v>14262</v>
      </c>
    </row>
    <row r="17" spans="1:24" ht="16.8">
      <c r="A17" s="127" t="s">
        <v>85</v>
      </c>
      <c r="B17" s="130">
        <v>0.10299999999999999</v>
      </c>
      <c r="C17" s="130">
        <v>0.24210000000000001</v>
      </c>
      <c r="D17" s="130">
        <v>0.27979999999999999</v>
      </c>
      <c r="E17" s="130">
        <v>0.38419999999999999</v>
      </c>
      <c r="F17" s="99"/>
      <c r="G17" s="99"/>
      <c r="H17" s="149"/>
      <c r="I17" s="125" t="s">
        <v>106</v>
      </c>
      <c r="J17" s="130">
        <v>0.1666</v>
      </c>
      <c r="K17" s="130">
        <v>0.1384</v>
      </c>
      <c r="L17" s="130">
        <v>0.37480000000000002</v>
      </c>
      <c r="M17" s="4">
        <v>0.11299999999999999</v>
      </c>
      <c r="N17" s="132"/>
      <c r="O17" s="147">
        <f t="shared" si="9"/>
        <v>0.32862799999999998</v>
      </c>
      <c r="P17" s="148">
        <f t="shared" si="10"/>
        <v>0.35998000000000002</v>
      </c>
      <c r="Q17" s="136">
        <v>24</v>
      </c>
      <c r="R17" s="136">
        <v>10000</v>
      </c>
      <c r="S17" s="136">
        <f t="shared" si="0"/>
        <v>8.9615053525176069E-3</v>
      </c>
      <c r="T17" s="136">
        <f t="shared" si="11"/>
        <v>1666</v>
      </c>
      <c r="U17" s="136">
        <f t="shared" si="12"/>
        <v>3748</v>
      </c>
      <c r="V17" s="136">
        <f t="shared" si="13"/>
        <v>1384</v>
      </c>
      <c r="W17" s="136">
        <f t="shared" si="14"/>
        <v>5414</v>
      </c>
      <c r="X17" s="137">
        <f t="shared" si="15"/>
        <v>15414</v>
      </c>
    </row>
    <row r="18" spans="1:24" ht="16.8">
      <c r="A18" s="128" t="s">
        <v>86</v>
      </c>
      <c r="B18" s="130">
        <v>0.1104</v>
      </c>
      <c r="C18" s="130">
        <v>0.25679999999999997</v>
      </c>
      <c r="D18" s="130">
        <v>0.315</v>
      </c>
      <c r="E18" s="130">
        <v>0.43180000000000002</v>
      </c>
      <c r="F18" s="99"/>
      <c r="G18" s="99"/>
      <c r="H18" s="149"/>
      <c r="I18" s="125" t="s">
        <v>107</v>
      </c>
      <c r="J18" s="130">
        <v>0.2366</v>
      </c>
      <c r="K18" s="130">
        <v>0.14000000000000001</v>
      </c>
      <c r="L18" s="130">
        <v>0.51149999999999995</v>
      </c>
      <c r="M18" s="4">
        <v>0.123</v>
      </c>
      <c r="N18" s="132"/>
      <c r="O18" s="147">
        <f t="shared" si="9"/>
        <v>0.31264533329999999</v>
      </c>
      <c r="P18" s="148">
        <f t="shared" si="10"/>
        <v>0.35997866670000001</v>
      </c>
      <c r="Q18" s="136">
        <v>36</v>
      </c>
      <c r="R18" s="136">
        <v>10000</v>
      </c>
      <c r="S18" s="136">
        <f t="shared" si="0"/>
        <v>9.7138490912604958E-3</v>
      </c>
      <c r="T18" s="136">
        <f t="shared" si="11"/>
        <v>2366</v>
      </c>
      <c r="U18" s="136">
        <f t="shared" si="12"/>
        <v>5115</v>
      </c>
      <c r="V18" s="136">
        <f t="shared" si="13"/>
        <v>1400.0000000000002</v>
      </c>
      <c r="W18" s="136">
        <f t="shared" si="14"/>
        <v>7481</v>
      </c>
      <c r="X18" s="137">
        <f t="shared" si="15"/>
        <v>17481</v>
      </c>
    </row>
    <row r="19" spans="1:24" ht="16.8">
      <c r="A19" s="129" t="s">
        <v>87</v>
      </c>
      <c r="B19" s="130">
        <v>0.1177</v>
      </c>
      <c r="C19" s="130">
        <v>0.2717</v>
      </c>
      <c r="D19" s="130">
        <v>0.3367</v>
      </c>
      <c r="E19" s="130">
        <v>0.4556</v>
      </c>
      <c r="F19" s="99"/>
      <c r="G19" s="99"/>
      <c r="H19" s="149"/>
      <c r="I19" s="125" t="s">
        <v>108</v>
      </c>
      <c r="J19" s="130">
        <v>0.29609999999999997</v>
      </c>
      <c r="K19" s="130">
        <v>0.14319999999999999</v>
      </c>
      <c r="L19" s="130">
        <v>0.63039999999999996</v>
      </c>
      <c r="M19" s="4">
        <v>0.128</v>
      </c>
      <c r="N19" s="132"/>
      <c r="O19" s="147">
        <f t="shared" si="9"/>
        <v>0.29825699999999999</v>
      </c>
      <c r="P19" s="148">
        <f t="shared" si="10"/>
        <v>0.35998400000000003</v>
      </c>
      <c r="Q19" s="136">
        <v>48</v>
      </c>
      <c r="R19" s="136">
        <v>10000</v>
      </c>
      <c r="S19" s="136">
        <f t="shared" si="0"/>
        <v>1.0087720864679683E-2</v>
      </c>
      <c r="T19" s="136">
        <f t="shared" si="11"/>
        <v>2960.9999999999995</v>
      </c>
      <c r="U19" s="136">
        <f t="shared" si="12"/>
        <v>6304</v>
      </c>
      <c r="V19" s="136">
        <f t="shared" si="13"/>
        <v>1432</v>
      </c>
      <c r="W19" s="136">
        <f t="shared" si="14"/>
        <v>9265</v>
      </c>
      <c r="X19" s="137">
        <f t="shared" si="15"/>
        <v>19265</v>
      </c>
    </row>
    <row r="20" spans="1:24" ht="16.2" thickBot="1">
      <c r="A20" s="117"/>
      <c r="B20" s="117"/>
      <c r="C20" s="117"/>
      <c r="D20" s="117"/>
      <c r="E20" s="117"/>
      <c r="F20" s="117"/>
      <c r="G20" s="117"/>
      <c r="H20" s="117"/>
      <c r="I20" s="126" t="s">
        <v>170</v>
      </c>
      <c r="J20" s="130">
        <v>5.3800000000000001E-2</v>
      </c>
      <c r="K20" s="130">
        <v>5.8700000000000002E-2</v>
      </c>
      <c r="L20" s="130">
        <v>9.5699999999999993E-2</v>
      </c>
      <c r="M20" s="4">
        <v>9.4E-2</v>
      </c>
      <c r="N20" s="132"/>
      <c r="O20" s="147">
        <f t="shared" si="9"/>
        <v>0.35193600000000003</v>
      </c>
      <c r="P20" s="148">
        <f t="shared" si="10"/>
        <v>0.359848</v>
      </c>
      <c r="Q20" s="150">
        <v>6</v>
      </c>
      <c r="R20" s="136">
        <v>10000</v>
      </c>
      <c r="S20" s="136">
        <f t="shared" si="0"/>
        <v>7.5148209323356863E-3</v>
      </c>
      <c r="T20" s="136">
        <f t="shared" si="11"/>
        <v>538</v>
      </c>
      <c r="U20" s="136">
        <f t="shared" si="12"/>
        <v>956.99999999999989</v>
      </c>
      <c r="V20" s="136">
        <f t="shared" si="13"/>
        <v>587</v>
      </c>
      <c r="W20" s="136">
        <f t="shared" si="14"/>
        <v>1495</v>
      </c>
      <c r="X20" s="137">
        <f t="shared" si="15"/>
        <v>11495</v>
      </c>
    </row>
    <row r="21" spans="1:24" ht="16.8">
      <c r="A21" s="160" t="s">
        <v>145</v>
      </c>
      <c r="B21" s="161"/>
      <c r="C21" s="161"/>
      <c r="D21" s="161"/>
      <c r="E21" s="161"/>
      <c r="F21" s="161"/>
      <c r="G21" s="161"/>
      <c r="H21" s="117"/>
      <c r="I21" s="126" t="s">
        <v>111</v>
      </c>
      <c r="J21" s="130">
        <v>5.5800000000000002E-2</v>
      </c>
      <c r="K21" s="130">
        <v>9.5600000000000004E-2</v>
      </c>
      <c r="L21" s="130">
        <v>0.23430000000000001</v>
      </c>
      <c r="M21" s="4">
        <v>0.10300000000000001</v>
      </c>
      <c r="N21" s="132"/>
      <c r="O21" s="147">
        <f t="shared" si="9"/>
        <v>0.34421600000000002</v>
      </c>
      <c r="P21" s="148">
        <f t="shared" si="10"/>
        <v>0.35991200000000001</v>
      </c>
      <c r="Q21" s="136">
        <v>12</v>
      </c>
      <c r="R21" s="136">
        <v>10000</v>
      </c>
      <c r="S21" s="136">
        <f t="shared" si="0"/>
        <v>8.2029396024936307E-3</v>
      </c>
      <c r="T21" s="136">
        <f t="shared" si="11"/>
        <v>558</v>
      </c>
      <c r="U21" s="136">
        <f t="shared" si="12"/>
        <v>2343</v>
      </c>
      <c r="V21" s="136">
        <f t="shared" si="13"/>
        <v>956</v>
      </c>
      <c r="W21" s="136">
        <f t="shared" si="14"/>
        <v>2901</v>
      </c>
      <c r="X21" s="137">
        <f t="shared" si="15"/>
        <v>12901</v>
      </c>
    </row>
    <row r="22" spans="1:24" ht="16.8">
      <c r="A22" s="118"/>
      <c r="B22" s="119"/>
      <c r="C22" s="119"/>
      <c r="D22" s="162" t="s">
        <v>146</v>
      </c>
      <c r="E22" s="163"/>
      <c r="F22" s="163"/>
      <c r="G22" s="120"/>
      <c r="H22" s="117"/>
      <c r="I22" s="126" t="s">
        <v>112</v>
      </c>
      <c r="J22" s="130">
        <v>0.13850000000000001</v>
      </c>
      <c r="K22" s="130">
        <v>0.13869999999999999</v>
      </c>
      <c r="L22" s="130">
        <v>0.28770000000000001</v>
      </c>
      <c r="M22" s="4">
        <v>0.10300000000000001</v>
      </c>
      <c r="N22" s="132"/>
      <c r="O22" s="147">
        <f t="shared" si="9"/>
        <v>0.33728666670000002</v>
      </c>
      <c r="P22" s="148">
        <f t="shared" si="10"/>
        <v>0.3599453333</v>
      </c>
      <c r="Q22" s="136">
        <v>18</v>
      </c>
      <c r="R22" s="136">
        <v>10000</v>
      </c>
      <c r="S22" s="136">
        <f t="shared" si="0"/>
        <v>8.2029396024936307E-3</v>
      </c>
      <c r="T22" s="136">
        <f t="shared" si="11"/>
        <v>1385.0000000000002</v>
      </c>
      <c r="U22" s="136">
        <f t="shared" si="12"/>
        <v>2877</v>
      </c>
      <c r="V22" s="136">
        <f t="shared" si="13"/>
        <v>1387</v>
      </c>
      <c r="W22" s="136">
        <f t="shared" si="14"/>
        <v>4262</v>
      </c>
      <c r="X22" s="137">
        <f t="shared" si="15"/>
        <v>14262</v>
      </c>
    </row>
    <row r="23" spans="1:24" ht="16.8">
      <c r="A23" s="121"/>
      <c r="B23" s="122">
        <v>6</v>
      </c>
      <c r="C23" s="122">
        <v>12</v>
      </c>
      <c r="D23" s="9">
        <v>18</v>
      </c>
      <c r="E23" s="9">
        <v>24</v>
      </c>
      <c r="F23" s="9">
        <v>36</v>
      </c>
      <c r="G23" s="10">
        <v>48</v>
      </c>
      <c r="H23" s="117"/>
      <c r="I23" s="126" t="s">
        <v>113</v>
      </c>
      <c r="J23" s="130">
        <v>0.16350000000000001</v>
      </c>
      <c r="K23" s="130">
        <v>0.14349999999999999</v>
      </c>
      <c r="L23" s="130">
        <v>0.37790000000000001</v>
      </c>
      <c r="M23" s="4">
        <v>0.11299999999999999</v>
      </c>
      <c r="N23" s="132"/>
      <c r="O23" s="147">
        <f t="shared" si="9"/>
        <v>0.32862799999999998</v>
      </c>
      <c r="P23" s="148">
        <f t="shared" si="10"/>
        <v>0.35998000000000002</v>
      </c>
      <c r="Q23" s="136">
        <v>24</v>
      </c>
      <c r="R23" s="136">
        <v>10000</v>
      </c>
      <c r="S23" s="136">
        <f t="shared" si="0"/>
        <v>8.9615053525176069E-3</v>
      </c>
      <c r="T23" s="136">
        <f t="shared" si="11"/>
        <v>1635</v>
      </c>
      <c r="U23" s="136">
        <f t="shared" si="12"/>
        <v>3779</v>
      </c>
      <c r="V23" s="136">
        <f t="shared" si="13"/>
        <v>1435</v>
      </c>
      <c r="W23" s="136">
        <f t="shared" si="14"/>
        <v>5414</v>
      </c>
      <c r="X23" s="137">
        <f t="shared" si="15"/>
        <v>15414</v>
      </c>
    </row>
    <row r="24" spans="1:24" ht="15.6">
      <c r="A24" s="123" t="s">
        <v>148</v>
      </c>
      <c r="B24" s="130">
        <v>3.4500000000000003E-2</v>
      </c>
      <c r="C24" s="130">
        <v>4.3900000000000002E-2</v>
      </c>
      <c r="D24" s="130">
        <v>8.8900000000000007E-2</v>
      </c>
      <c r="E24" s="130">
        <v>9.7000000000000003E-2</v>
      </c>
      <c r="F24" s="130">
        <v>0.11119999999999999</v>
      </c>
      <c r="G24" s="130">
        <v>0.1132</v>
      </c>
      <c r="H24" s="117"/>
      <c r="I24" s="126" t="s">
        <v>114</v>
      </c>
      <c r="J24" s="130">
        <v>0.2364</v>
      </c>
      <c r="K24" s="130">
        <v>0.14430000000000001</v>
      </c>
      <c r="L24" s="130">
        <v>0.51170000000000004</v>
      </c>
      <c r="M24" s="4">
        <v>0.123</v>
      </c>
      <c r="N24" s="132"/>
      <c r="O24" s="147">
        <f t="shared" si="9"/>
        <v>0.31264533329999999</v>
      </c>
      <c r="P24" s="148">
        <f t="shared" si="10"/>
        <v>0.35997866670000001</v>
      </c>
      <c r="Q24" s="136">
        <v>36</v>
      </c>
      <c r="R24" s="136">
        <v>10000</v>
      </c>
      <c r="S24" s="136">
        <f t="shared" si="0"/>
        <v>9.7138490912604958E-3</v>
      </c>
      <c r="T24" s="136">
        <f t="shared" si="11"/>
        <v>2364</v>
      </c>
      <c r="U24" s="136">
        <f t="shared" si="12"/>
        <v>5117</v>
      </c>
      <c r="V24" s="136">
        <f t="shared" si="13"/>
        <v>1443.0000000000002</v>
      </c>
      <c r="W24" s="136">
        <f t="shared" si="14"/>
        <v>7481</v>
      </c>
      <c r="X24" s="137">
        <f t="shared" si="15"/>
        <v>17481</v>
      </c>
    </row>
    <row r="25" spans="1:24" ht="15.6">
      <c r="A25" s="124" t="s">
        <v>149</v>
      </c>
      <c r="B25" s="130">
        <v>4.1300000000000003E-2</v>
      </c>
      <c r="C25" s="130">
        <v>5.8999999999999997E-2</v>
      </c>
      <c r="D25" s="130">
        <v>0.112</v>
      </c>
      <c r="E25" s="130">
        <v>0.1138</v>
      </c>
      <c r="F25" s="130">
        <v>0.1179</v>
      </c>
      <c r="G25" s="130">
        <v>0.1193</v>
      </c>
      <c r="H25" s="117"/>
      <c r="I25" s="127" t="s">
        <v>171</v>
      </c>
      <c r="J25" s="130">
        <v>4.6300000000000001E-2</v>
      </c>
      <c r="K25" s="130">
        <v>6.3E-2</v>
      </c>
      <c r="L25" s="130">
        <v>0.10299999999999999</v>
      </c>
      <c r="M25" s="4">
        <v>9.4500000000000001E-2</v>
      </c>
      <c r="N25" s="132"/>
      <c r="O25" s="147">
        <f t="shared" si="9"/>
        <v>0.3518</v>
      </c>
      <c r="P25" s="148">
        <f t="shared" si="10"/>
        <v>0.35975200000000002</v>
      </c>
      <c r="Q25" s="150">
        <v>6</v>
      </c>
      <c r="R25" s="136">
        <v>10000</v>
      </c>
      <c r="S25" s="136">
        <f t="shared" si="0"/>
        <v>7.553185642589888E-3</v>
      </c>
      <c r="T25" s="136">
        <f t="shared" si="11"/>
        <v>463</v>
      </c>
      <c r="U25" s="136">
        <f t="shared" si="12"/>
        <v>1030</v>
      </c>
      <c r="V25" s="136">
        <f t="shared" si="13"/>
        <v>630</v>
      </c>
      <c r="W25" s="136">
        <f t="shared" si="14"/>
        <v>1493</v>
      </c>
      <c r="X25" s="137">
        <f t="shared" si="15"/>
        <v>11493</v>
      </c>
    </row>
    <row r="26" spans="1:24" ht="15.6">
      <c r="A26" s="125" t="s">
        <v>150</v>
      </c>
      <c r="B26" s="130">
        <v>5.0099999999999999E-2</v>
      </c>
      <c r="C26" s="130">
        <v>7.6899999999999996E-2</v>
      </c>
      <c r="D26" s="130">
        <v>0.13339999999999999</v>
      </c>
      <c r="E26" s="130">
        <v>0.1384</v>
      </c>
      <c r="F26" s="130">
        <v>0.14000000000000001</v>
      </c>
      <c r="G26" s="130">
        <v>0.14319999999999999</v>
      </c>
      <c r="H26" s="117"/>
      <c r="I26" s="127" t="s">
        <v>118</v>
      </c>
      <c r="J26" s="130">
        <v>4.7699999999999999E-2</v>
      </c>
      <c r="K26" s="130">
        <v>0.11169999999999999</v>
      </c>
      <c r="L26" s="130">
        <v>0.24210000000000001</v>
      </c>
      <c r="M26" s="4">
        <v>0.10350000000000001</v>
      </c>
      <c r="N26" s="132"/>
      <c r="O26" s="147">
        <f t="shared" si="9"/>
        <v>0.34416799999999997</v>
      </c>
      <c r="P26" s="148">
        <f t="shared" si="10"/>
        <v>0.35992400000000002</v>
      </c>
      <c r="Q26" s="136">
        <v>12</v>
      </c>
      <c r="R26" s="136">
        <v>10000</v>
      </c>
      <c r="S26" s="136">
        <f t="shared" si="0"/>
        <v>8.2410173272311482E-3</v>
      </c>
      <c r="T26" s="136">
        <f t="shared" si="11"/>
        <v>477</v>
      </c>
      <c r="U26" s="136">
        <f t="shared" si="12"/>
        <v>2421</v>
      </c>
      <c r="V26" s="136">
        <f t="shared" si="13"/>
        <v>1117</v>
      </c>
      <c r="W26" s="136">
        <f t="shared" si="14"/>
        <v>2898</v>
      </c>
      <c r="X26" s="137">
        <f t="shared" si="15"/>
        <v>12898</v>
      </c>
    </row>
    <row r="27" spans="1:24" ht="16.8">
      <c r="A27" s="126" t="s">
        <v>151</v>
      </c>
      <c r="B27" s="130">
        <v>5.8700000000000002E-2</v>
      </c>
      <c r="C27" s="130">
        <v>9.5600000000000004E-2</v>
      </c>
      <c r="D27" s="130">
        <v>0.13869999999999999</v>
      </c>
      <c r="E27" s="130">
        <v>0.14349999999999999</v>
      </c>
      <c r="F27" s="130">
        <v>0.14430000000000001</v>
      </c>
      <c r="G27" s="99"/>
      <c r="H27" s="117"/>
      <c r="I27" s="127" t="s">
        <v>152</v>
      </c>
      <c r="J27" s="130">
        <v>0.1459</v>
      </c>
      <c r="K27" s="130">
        <v>0.1656</v>
      </c>
      <c r="L27" s="130">
        <v>0.27979999999999999</v>
      </c>
      <c r="M27" s="4">
        <v>0.10350000000000001</v>
      </c>
      <c r="N27" s="132"/>
      <c r="O27" s="147">
        <f t="shared" si="9"/>
        <v>0.33720533330000002</v>
      </c>
      <c r="P27" s="148">
        <f t="shared" si="10"/>
        <v>0.3599453333</v>
      </c>
      <c r="Q27" s="136">
        <v>18</v>
      </c>
      <c r="R27" s="136">
        <v>10000</v>
      </c>
      <c r="S27" s="136">
        <f t="shared" si="0"/>
        <v>8.2410173272311482E-3</v>
      </c>
      <c r="T27" s="136">
        <f t="shared" si="11"/>
        <v>1459</v>
      </c>
      <c r="U27" s="136">
        <f t="shared" si="12"/>
        <v>2798</v>
      </c>
      <c r="V27" s="136">
        <f t="shared" si="13"/>
        <v>1656</v>
      </c>
      <c r="W27" s="136">
        <f t="shared" si="14"/>
        <v>4257</v>
      </c>
      <c r="X27" s="137">
        <f t="shared" si="15"/>
        <v>14257</v>
      </c>
    </row>
    <row r="28" spans="1:24" ht="16.8">
      <c r="A28" s="127" t="s">
        <v>85</v>
      </c>
      <c r="B28" s="130">
        <v>6.3E-2</v>
      </c>
      <c r="C28" s="130">
        <v>0.11169999999999999</v>
      </c>
      <c r="D28" s="130">
        <v>0.1656</v>
      </c>
      <c r="E28" s="130">
        <v>0.16819999999999999</v>
      </c>
      <c r="F28" s="99"/>
      <c r="G28" s="99"/>
      <c r="H28" s="117"/>
      <c r="I28" s="127" t="s">
        <v>153</v>
      </c>
      <c r="J28" s="130">
        <v>0.1565</v>
      </c>
      <c r="K28" s="130">
        <v>0.16819999999999999</v>
      </c>
      <c r="L28" s="130">
        <v>0.38419999999999999</v>
      </c>
      <c r="M28" s="4">
        <v>0.11349999999999999</v>
      </c>
      <c r="N28" s="132"/>
      <c r="O28" s="147">
        <f t="shared" si="9"/>
        <v>0.32852999999999999</v>
      </c>
      <c r="P28" s="148">
        <f t="shared" si="10"/>
        <v>0.35998000000000002</v>
      </c>
      <c r="Q28" s="136">
        <v>24</v>
      </c>
      <c r="R28" s="136">
        <v>10000</v>
      </c>
      <c r="S28" s="136">
        <f t="shared" si="0"/>
        <v>8.9992694218428149E-3</v>
      </c>
      <c r="T28" s="136">
        <f t="shared" si="11"/>
        <v>1565</v>
      </c>
      <c r="U28" s="136">
        <f t="shared" si="12"/>
        <v>3842</v>
      </c>
      <c r="V28" s="136">
        <f t="shared" si="13"/>
        <v>1681.9999999999998</v>
      </c>
      <c r="W28" s="136">
        <f t="shared" si="14"/>
        <v>5407</v>
      </c>
      <c r="X28" s="137">
        <f t="shared" si="15"/>
        <v>15407</v>
      </c>
    </row>
    <row r="29" spans="1:24" ht="16.8">
      <c r="A29" s="128" t="s">
        <v>86</v>
      </c>
      <c r="B29" s="130">
        <v>6.7400000000000002E-2</v>
      </c>
      <c r="C29" s="130">
        <v>0.13039999999999999</v>
      </c>
      <c r="D29" s="130">
        <v>0.17630000000000001</v>
      </c>
      <c r="E29" s="130">
        <v>0.1782</v>
      </c>
      <c r="F29" s="99"/>
      <c r="G29" s="99"/>
      <c r="H29" s="117"/>
      <c r="I29" s="128" t="s">
        <v>172</v>
      </c>
      <c r="J29" s="130">
        <v>3.8899999999999997E-2</v>
      </c>
      <c r="K29" s="130">
        <v>6.7400000000000002E-2</v>
      </c>
      <c r="L29" s="130">
        <v>0.1104</v>
      </c>
      <c r="M29" s="4">
        <v>9.4500000000000001E-2</v>
      </c>
      <c r="N29" s="132"/>
      <c r="O29" s="147">
        <f t="shared" si="9"/>
        <v>0.3518</v>
      </c>
      <c r="P29" s="148">
        <f t="shared" si="10"/>
        <v>0.35975200000000002</v>
      </c>
      <c r="Q29" s="150">
        <v>6</v>
      </c>
      <c r="R29" s="136">
        <v>10000</v>
      </c>
      <c r="S29" s="136">
        <f t="shared" si="0"/>
        <v>7.553185642589888E-3</v>
      </c>
      <c r="T29" s="136">
        <f t="shared" si="11"/>
        <v>388.99999999999994</v>
      </c>
      <c r="U29" s="136">
        <f t="shared" si="12"/>
        <v>1104</v>
      </c>
      <c r="V29" s="136">
        <f t="shared" si="13"/>
        <v>674</v>
      </c>
      <c r="W29" s="136">
        <f t="shared" si="14"/>
        <v>1493</v>
      </c>
      <c r="X29" s="137">
        <f t="shared" si="15"/>
        <v>11493</v>
      </c>
    </row>
    <row r="30" spans="1:24" ht="17.399999999999999" thickBot="1">
      <c r="A30" s="129" t="s">
        <v>87</v>
      </c>
      <c r="B30" s="130">
        <v>7.1800000000000003E-2</v>
      </c>
      <c r="C30" s="130">
        <v>0.1366</v>
      </c>
      <c r="D30" s="130">
        <v>0.18149999999999999</v>
      </c>
      <c r="E30" s="142">
        <v>0.18809999999999999</v>
      </c>
      <c r="F30" s="99"/>
      <c r="G30" s="99"/>
      <c r="H30" s="117"/>
      <c r="I30" s="128" t="s">
        <v>125</v>
      </c>
      <c r="J30" s="130">
        <v>3.3000000000000002E-2</v>
      </c>
      <c r="K30" s="130">
        <v>0.13039999999999999</v>
      </c>
      <c r="L30" s="130">
        <v>0.25679999999999997</v>
      </c>
      <c r="M30" s="4">
        <v>0.10350000000000001</v>
      </c>
      <c r="N30" s="132"/>
      <c r="O30" s="147">
        <f t="shared" si="9"/>
        <v>0.34416799999999997</v>
      </c>
      <c r="P30" s="148">
        <f t="shared" si="10"/>
        <v>0.35992400000000002</v>
      </c>
      <c r="Q30" s="136">
        <v>12</v>
      </c>
      <c r="R30" s="136">
        <v>10000</v>
      </c>
      <c r="S30" s="136">
        <f t="shared" si="0"/>
        <v>8.2410173272311482E-3</v>
      </c>
      <c r="T30" s="136">
        <f t="shared" si="11"/>
        <v>330</v>
      </c>
      <c r="U30" s="136">
        <f t="shared" si="12"/>
        <v>2567.9999999999995</v>
      </c>
      <c r="V30" s="136">
        <f t="shared" si="13"/>
        <v>1303.9999999999998</v>
      </c>
      <c r="W30" s="136">
        <f t="shared" si="14"/>
        <v>2897.9999999999995</v>
      </c>
      <c r="X30" s="137">
        <f t="shared" si="15"/>
        <v>12898</v>
      </c>
    </row>
    <row r="31" spans="1:24" ht="15.6">
      <c r="A31" s="117"/>
      <c r="B31" s="117"/>
      <c r="C31" s="117"/>
      <c r="D31" s="117"/>
      <c r="E31" s="117"/>
      <c r="F31" s="117"/>
      <c r="G31" s="117"/>
      <c r="H31" s="117"/>
      <c r="I31" s="128" t="s">
        <v>126</v>
      </c>
      <c r="J31" s="130">
        <v>0.11070000000000001</v>
      </c>
      <c r="K31" s="130">
        <v>0.17630000000000001</v>
      </c>
      <c r="L31" s="130">
        <v>0.315</v>
      </c>
      <c r="M31" s="4">
        <v>0.10350000000000001</v>
      </c>
      <c r="N31" s="132"/>
      <c r="O31" s="147">
        <f t="shared" si="9"/>
        <v>0.33720533330000002</v>
      </c>
      <c r="P31" s="148">
        <f t="shared" si="10"/>
        <v>0.3599453333</v>
      </c>
      <c r="Q31" s="136">
        <v>18</v>
      </c>
      <c r="R31" s="136">
        <v>10000</v>
      </c>
      <c r="S31" s="136">
        <f t="shared" si="0"/>
        <v>8.2410173272311482E-3</v>
      </c>
      <c r="T31" s="136">
        <f t="shared" si="11"/>
        <v>1107</v>
      </c>
      <c r="U31" s="136">
        <f t="shared" si="12"/>
        <v>3150</v>
      </c>
      <c r="V31" s="136">
        <f t="shared" si="13"/>
        <v>1763.0000000000002</v>
      </c>
      <c r="W31" s="136">
        <f t="shared" si="14"/>
        <v>4257</v>
      </c>
      <c r="X31" s="137">
        <f t="shared" si="15"/>
        <v>14257</v>
      </c>
    </row>
    <row r="32" spans="1:24" ht="15.6">
      <c r="I32" s="128" t="s">
        <v>154</v>
      </c>
      <c r="J32" s="130">
        <v>0.1089</v>
      </c>
      <c r="K32" s="130">
        <v>0.1782</v>
      </c>
      <c r="L32" s="130">
        <v>0.43180000000000002</v>
      </c>
      <c r="M32" s="4">
        <v>0.11349999999999999</v>
      </c>
      <c r="N32" s="132"/>
      <c r="O32" s="147">
        <f t="shared" si="9"/>
        <v>0.32852999999999999</v>
      </c>
      <c r="P32" s="148">
        <f t="shared" si="10"/>
        <v>0.35998000000000002</v>
      </c>
      <c r="Q32" s="136">
        <v>24</v>
      </c>
      <c r="R32" s="136">
        <v>10000</v>
      </c>
      <c r="S32" s="136">
        <f t="shared" si="0"/>
        <v>8.9992694218428149E-3</v>
      </c>
      <c r="T32" s="136">
        <f t="shared" si="11"/>
        <v>1089</v>
      </c>
      <c r="U32" s="136">
        <f t="shared" si="12"/>
        <v>4318</v>
      </c>
      <c r="V32" s="136">
        <f t="shared" si="13"/>
        <v>1782</v>
      </c>
      <c r="W32" s="136">
        <f t="shared" si="14"/>
        <v>5407</v>
      </c>
      <c r="X32" s="137">
        <f t="shared" si="15"/>
        <v>15407</v>
      </c>
    </row>
    <row r="33" spans="9:24" ht="15.6">
      <c r="I33" s="129" t="s">
        <v>173</v>
      </c>
      <c r="J33" s="130">
        <v>3.1600000000000003E-2</v>
      </c>
      <c r="K33" s="130">
        <v>7.1800000000000003E-2</v>
      </c>
      <c r="L33" s="130">
        <v>0.1177</v>
      </c>
      <c r="M33" s="4">
        <v>9.4500000000000001E-2</v>
      </c>
      <c r="N33" s="132"/>
      <c r="O33" s="147">
        <f t="shared" si="9"/>
        <v>0.3518</v>
      </c>
      <c r="P33" s="148">
        <f t="shared" si="10"/>
        <v>0.35975200000000002</v>
      </c>
      <c r="Q33" s="150">
        <v>6</v>
      </c>
      <c r="R33" s="136">
        <v>10000</v>
      </c>
      <c r="S33" s="136">
        <f t="shared" si="0"/>
        <v>7.553185642589888E-3</v>
      </c>
      <c r="T33" s="136">
        <f t="shared" si="11"/>
        <v>316.00000000000006</v>
      </c>
      <c r="U33" s="136">
        <f t="shared" si="12"/>
        <v>1177</v>
      </c>
      <c r="V33" s="136">
        <f t="shared" si="13"/>
        <v>718</v>
      </c>
      <c r="W33" s="136">
        <f t="shared" si="14"/>
        <v>1493</v>
      </c>
      <c r="X33" s="137">
        <f t="shared" si="15"/>
        <v>11493</v>
      </c>
    </row>
    <row r="34" spans="9:24" ht="15.6">
      <c r="I34" s="129" t="s">
        <v>129</v>
      </c>
      <c r="J34" s="130">
        <v>1.8100000000000002E-2</v>
      </c>
      <c r="K34" s="130">
        <v>0.1366</v>
      </c>
      <c r="L34" s="130">
        <v>0.2717</v>
      </c>
      <c r="M34" s="4">
        <v>0.10350000000000001</v>
      </c>
      <c r="N34" s="132"/>
      <c r="O34" s="147">
        <f t="shared" si="9"/>
        <v>0.34416799999999997</v>
      </c>
      <c r="P34" s="148">
        <f t="shared" si="10"/>
        <v>0.35992400000000002</v>
      </c>
      <c r="Q34" s="136">
        <v>12</v>
      </c>
      <c r="R34" s="136">
        <v>10000</v>
      </c>
      <c r="S34" s="136">
        <f t="shared" si="0"/>
        <v>8.2410173272311482E-3</v>
      </c>
      <c r="T34" s="136">
        <f t="shared" si="11"/>
        <v>181.00000000000003</v>
      </c>
      <c r="U34" s="136">
        <f t="shared" si="12"/>
        <v>2717</v>
      </c>
      <c r="V34" s="136">
        <f t="shared" si="13"/>
        <v>1366</v>
      </c>
      <c r="W34" s="136">
        <f t="shared" si="14"/>
        <v>2898</v>
      </c>
      <c r="X34" s="137">
        <f t="shared" si="15"/>
        <v>12898</v>
      </c>
    </row>
    <row r="35" spans="9:24" ht="15.6">
      <c r="I35" s="129" t="s">
        <v>155</v>
      </c>
      <c r="J35" s="130">
        <v>8.8999999999999996E-2</v>
      </c>
      <c r="K35" s="130">
        <v>0.18149999999999999</v>
      </c>
      <c r="L35" s="130">
        <v>0.3367</v>
      </c>
      <c r="M35" s="4">
        <v>0.10350000000000001</v>
      </c>
      <c r="N35" s="132"/>
      <c r="O35" s="147">
        <f t="shared" si="5"/>
        <v>0.33720533330000002</v>
      </c>
      <c r="P35" s="148">
        <f t="shared" si="6"/>
        <v>0.3599453333</v>
      </c>
      <c r="Q35" s="136">
        <v>18</v>
      </c>
      <c r="R35" s="136">
        <v>10000</v>
      </c>
      <c r="S35" s="136">
        <f t="shared" si="0"/>
        <v>8.2410173272311482E-3</v>
      </c>
      <c r="T35" s="136">
        <f t="shared" si="11"/>
        <v>890</v>
      </c>
      <c r="U35" s="136">
        <f t="shared" si="12"/>
        <v>3367</v>
      </c>
      <c r="V35" s="136">
        <f t="shared" si="13"/>
        <v>1815</v>
      </c>
      <c r="W35" s="136">
        <f t="shared" si="14"/>
        <v>4257</v>
      </c>
      <c r="X35" s="137">
        <f t="shared" si="15"/>
        <v>14257</v>
      </c>
    </row>
    <row r="36" spans="9:24" ht="16.2" thickBot="1">
      <c r="I36" s="129" t="s">
        <v>156</v>
      </c>
      <c r="J36" s="130">
        <v>8.5099999999999898E-2</v>
      </c>
      <c r="K36" s="130">
        <v>0.18809999999999999</v>
      </c>
      <c r="L36" s="130">
        <v>0.4556</v>
      </c>
      <c r="M36" s="4">
        <v>0.11349999999999999</v>
      </c>
      <c r="N36" s="132"/>
      <c r="O36" s="147">
        <f t="shared" si="5"/>
        <v>0.32852999999999999</v>
      </c>
      <c r="P36" s="148">
        <f t="shared" si="6"/>
        <v>0.35998000000000002</v>
      </c>
      <c r="Q36" s="138">
        <v>24</v>
      </c>
      <c r="R36" s="136">
        <v>10000</v>
      </c>
      <c r="S36" s="136">
        <f t="shared" si="0"/>
        <v>8.9992694218428149E-3</v>
      </c>
      <c r="T36" s="136">
        <f t="shared" si="11"/>
        <v>850.99999999999898</v>
      </c>
      <c r="U36" s="136">
        <f t="shared" si="12"/>
        <v>4556</v>
      </c>
      <c r="V36" s="136">
        <f t="shared" si="13"/>
        <v>1881</v>
      </c>
      <c r="W36" s="136">
        <f t="shared" si="14"/>
        <v>5406.9999999999991</v>
      </c>
      <c r="X36" s="137">
        <f t="shared" si="15"/>
        <v>15407</v>
      </c>
    </row>
    <row r="37" spans="9:24">
      <c r="I37" s="117"/>
      <c r="J37" s="117"/>
      <c r="K37" s="117"/>
      <c r="L37" s="117"/>
    </row>
    <row r="38" spans="9:24">
      <c r="I38" s="117"/>
      <c r="J38" s="117"/>
      <c r="K38" s="117"/>
      <c r="L38" s="117"/>
    </row>
  </sheetData>
  <mergeCells count="4">
    <mergeCell ref="A1:G1"/>
    <mergeCell ref="A11:G11"/>
    <mergeCell ref="A21:G21"/>
    <mergeCell ref="D22:F22"/>
  </mergeCells>
  <phoneticPr fontId="28" type="noConversion"/>
  <conditionalFormatting sqref="O2:P36">
    <cfRule type="cellIs" dxfId="1" priority="1" operator="greaterThan">
      <formula>0.36</formula>
    </cfRule>
    <cfRule type="expression" dxfId="0" priority="2">
      <formula>"&gt;0.36"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第二笔生成器</vt:lpstr>
      <vt:lpstr>第一笔生成器</vt:lpstr>
      <vt:lpstr>自主支付</vt:lpstr>
      <vt:lpstr>合同年利率</vt:lpstr>
      <vt:lpstr>最新定价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yangw</cp:lastModifiedBy>
  <dcterms:created xsi:type="dcterms:W3CDTF">2017-10-13T06:11:00Z</dcterms:created>
  <dcterms:modified xsi:type="dcterms:W3CDTF">2018-11-15T06:15:58Z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