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商材目次" sheetId="2" r:id="rId6"/>
    <sheet state="visible" name="前半パック_設計書" sheetId="3" r:id="rId7"/>
    <sheet state="visible" name="ハーフアニバーサリー 感謝祭!DXフェスガシャ A_設計書" sheetId="4" r:id="rId8"/>
    <sheet state="visible" name="06_ハーフアニバーサリー 感謝祭!DXフェスガシャ A_注意" sheetId="5" r:id="rId9"/>
    <sheet state="visible" name="後半パック_設計書" sheetId="6" r:id="rId10"/>
    <sheet state="visible" name="ハーフアニバーサリー 感謝祭!DXフェスガシャ B_設計書" sheetId="7" r:id="rId11"/>
    <sheet state="visible" name="06_ハーフアニバーサリー 感謝祭!DXフェスガシャ B_注意" sheetId="8" r:id="rId12"/>
    <sheet state="visible" name="ハーフアニバーサリー 感謝祭!ピックアップガシャ _設計書" sheetId="9" r:id="rId13"/>
    <sheet state="visible" name="06_ハーフアニバーサリー 感謝祭!ピックアップガシャ_注意事" sheetId="10" r:id="rId14"/>
    <sheet state="visible" name="ステップアップガシャ要件_やりたいこと" sheetId="11" r:id="rId15"/>
    <sheet state="visible" name="ハーフアニバーサリー 感謝祭!記念ステップアップガシャ _設計" sheetId="12" r:id="rId16"/>
    <sheet state="visible" name="#ハーフアニバーサリー 感謝祭!記念ステップアップガシャ _設" sheetId="13" r:id="rId17"/>
    <sheet state="visible" name="ステップアップガシャ_注意事項" sheetId="14" r:id="rId18"/>
    <sheet state="visible" name="ありがとうメダルガシャ_設計書" sheetId="15" r:id="rId19"/>
    <sheet state="visible" name="07_いいジャン祭パック_設計書" sheetId="16" r:id="rId20"/>
    <sheet state="visible" name="3~4月追加の課金施策_設計書"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3">
      <text>
        <t xml:space="preserve">有効期間の初日に、付与予定の複数用途アイテム総数の10％以上をまとめて付与する事はＮＧ</t>
      </text>
    </comment>
    <comment authorId="0" ref="D223">
      <text>
        <t xml:space="preserve">有効期間の最初の30％以内の期間中に、付与予定の複数用途アイテム総数の50％以上をまとめて付与する事もＮＧ</t>
      </text>
    </comment>
    <comment authorId="0" ref="C224">
      <text>
        <t xml:space="preserve">有効期間の初日に、付与予定の複数用途アイテム総数の10％以上をまとめて付与する事はＮＧ</t>
      </text>
    </comment>
    <comment authorId="0" ref="D224">
      <text>
        <t xml:space="preserve">有効期間の最初の30％以内の期間中に、付与予定の複数用途アイテム総数の50％以上をまとめて付与する事もＮＧ</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6">
      <text>
        <t xml:space="preserve">名称を変更してリニューアル
</t>
      </text>
    </comment>
    <comment authorId="0" ref="C211">
      <text>
        <t xml:space="preserve">有効期間の初日に、付与予定の複数用途アイテム総数の10％以上をまとめて付与する事はＮＧ</t>
      </text>
    </comment>
    <comment authorId="0" ref="D211">
      <text>
        <t xml:space="preserve">有効期間の最初の30％以内の期間中に、付与予定の複数用途アイテム総数の50％以上をまとめて付与する事もＮＧ</t>
      </text>
    </comment>
  </commentList>
</comments>
</file>

<file path=xl/sharedStrings.xml><?xml version="1.0" encoding="utf-8"?>
<sst xmlns="http://schemas.openxmlformats.org/spreadsheetml/2006/main" count="3322" uniqueCount="528">
  <si>
    <t>お知らせ自動生成ツール - 使い方</t>
  </si>
  <si>
    <t>■ 初回設定（必須）</t>
  </si>
  <si>
    <t>1. メニュー「★お知らせ作成」＞「⚙️ 初回設定：APIキーを登録」をクリック</t>
  </si>
  <si>
    <t>2. Google AI Studio (https://aistudio.google.com/) でAPIキーを取得</t>
  </si>
  <si>
    <t>3. 表示されたダイアログにAPIキーを入力</t>
  </si>
  <si>
    <t>■ 基本的な使い方</t>
  </si>
  <si>
    <t>- ① 全体お知らせを生成：01〜04で始まるシートを統合</t>
  </si>
  <si>
    <t xml:space="preserve"> →交換所など、入れたいものがあれば04等対象の数字を冒頭につけてください</t>
  </si>
  <si>
    <t>- ② ガシャお知らせをすべて生成：@ガシャシートを一括生成</t>
  </si>
  <si>
    <t>- ③ パックお知らせをすべて生成：@パック/@課金シートを一括生成</t>
  </si>
  <si>
    <t>- ④ 選択シートからお知らせを生成：選択中のシートのみ生成</t>
  </si>
  <si>
    <t>■ シート命名ルール</t>
  </si>
  <si>
    <t>- 全体お知らせ：01_、02_、03_、04_ で始まるシート名</t>
  </si>
  <si>
    <t>- ガシャ：@で始まり「ガシャ」を含む（例：@新キャラガシャ）</t>
  </si>
  <si>
    <t>- パック：@で始まり「パック」または「課金」を含む（例：@限定パック）</t>
  </si>
  <si>
    <t>■ テンプレートとして使用する場合</t>
  </si>
  <si>
    <t>1. このスプレッドシートをコピー（ファイル＞コピーを作成）</t>
  </si>
  <si>
    <t>2. コピー先で「⚙️ 初回設定：APIキーを登録」から自分のAPIキーを登録</t>
  </si>
  <si>
    <t>3. データを入力して使用開始！</t>
  </si>
  <si>
    <t>注：APIキーはコピー先では引き継がれません。各自で登録が必要です。</t>
  </si>
  <si>
    <t>※お知らせを作成するガシャやパックのシートには「@」を冒頭につけてね</t>
  </si>
  <si>
    <t>ガシャ</t>
  </si>
  <si>
    <t>備考</t>
  </si>
  <si>
    <t>前半フェス限ガシャ_設計書</t>
  </si>
  <si>
    <t>後半フェス限ガシャ_設計書</t>
  </si>
  <si>
    <t>ハーフアニバーサリー 感謝祭！ピックアップガシャ_設計書</t>
  </si>
  <si>
    <t>ハーフアニバーサリー 感謝祭！記念ステップアップガシャ _設計書</t>
  </si>
  <si>
    <t>ありがとうメダルガシャ_設計書</t>
  </si>
  <si>
    <t>パック</t>
  </si>
  <si>
    <t>前半パック_設計書</t>
  </si>
  <si>
    <t>後半パック_設計書</t>
  </si>
  <si>
    <t>07_いいジャン祭パック_設計書</t>
  </si>
  <si>
    <t>3~4月追加の課金施策_設計書</t>
  </si>
  <si>
    <t>恒常ショップ変更点</t>
  </si>
  <si>
    <t>GLOW_基本販売物_レギュレーション</t>
  </si>
  <si>
    <t>ショップタブのプリズム、コインの個数変更</t>
  </si>
  <si>
    <t>方針メモ：前半は値段段階式パック予定、年末年始を参照してみる。スタミナドリンクは販売する。</t>
  </si>
  <si>
    <t>作成者</t>
  </si>
  <si>
    <t>確認者</t>
  </si>
  <si>
    <t>承認状況</t>
  </si>
  <si>
    <t>後半もパックを再販、フェスキャラが2体出るのでプリズムとパックは必要</t>
  </si>
  <si>
    <t>平野</t>
  </si>
  <si>
    <t>社内承認済</t>
  </si>
  <si>
    <t>◆プリズム（恒常販売のもの）⇦比較用</t>
  </si>
  <si>
    <t>※正月のものと同様の内容物で販売
販売物バナーの制作コスト軽減</t>
  </si>
  <si>
    <t>▼恒常販売</t>
  </si>
  <si>
    <t>単発150、10連ガシャ1500のプリズムが必要想定</t>
  </si>
  <si>
    <t>標準価格、ガシャ単価300円、最安値280円程度（モンスト水準）</t>
  </si>
  <si>
    <t>■購入可能回数</t>
  </si>
  <si>
    <t>無制限</t>
  </si>
  <si>
    <t>■販売期間</t>
  </si>
  <si>
    <t>〜</t>
  </si>
  <si>
    <t>無期限</t>
  </si>
  <si>
    <t>金額</t>
  </si>
  <si>
    <t>1個当たり</t>
  </si>
  <si>
    <t>有償/無償</t>
  </si>
  <si>
    <t>ガシャ単価</t>
  </si>
  <si>
    <t>個数</t>
  </si>
  <si>
    <t>（日本円）</t>
  </si>
  <si>
    <t>有償分</t>
  </si>
  <si>
    <t>無償分</t>
  </si>
  <si>
    <t>差分</t>
  </si>
  <si>
    <t>割引率</t>
  </si>
  <si>
    <t>購入可能回数</t>
  </si>
  <si>
    <t>▼期間限定販売：通常のものと合わせて販売、リリース記念で販売</t>
  </si>
  <si>
    <t>◆ハーフアニバーサリー(前半)お得プリズム</t>
  </si>
  <si>
    <t>全部1回購入</t>
  </si>
  <si>
    <t>全部フル購入</t>
  </si>
  <si>
    <t>フェスガシャ天井</t>
  </si>
  <si>
    <t>ピックアップ天井</t>
  </si>
  <si>
    <t>◆【お一人様10回まで購入可】アニバ限定いいジャン!スタミナドリンクパック</t>
  </si>
  <si>
    <t>新規</t>
  </si>
  <si>
    <t>■ID</t>
  </si>
  <si>
    <t>event_item_pack_36</t>
  </si>
  <si>
    <t>■opr_product_id</t>
  </si>
  <si>
    <t>■Biling ID（ios）</t>
  </si>
  <si>
    <t>BNEI0434_0091</t>
  </si>
  <si>
    <t>■Biling ID（aos）</t>
  </si>
  <si>
    <t>com.bandainamcoent.jumble_0091</t>
  </si>
  <si>
    <t>■基準価格(税込)</t>
  </si>
  <si>
    <t>■税別価格</t>
  </si>
  <si>
    <t>■割引価格(税込)</t>
  </si>
  <si>
    <t>■割引率</t>
  </si>
  <si>
    <t>■税別割引価格</t>
  </si>
  <si>
    <t>名称</t>
  </si>
  <si>
    <t>有効期限・オマケ</t>
  </si>
  <si>
    <t>受け取り期限</t>
  </si>
  <si>
    <t>無償分(オマケ)</t>
  </si>
  <si>
    <t>単価</t>
  </si>
  <si>
    <t>価格</t>
  </si>
  <si>
    <t>おまけ</t>
  </si>
  <si>
    <t>スタミナドリンク</t>
  </si>
  <si>
    <t>有償販売</t>
  </si>
  <si>
    <t>合計</t>
  </si>
  <si>
    <t>割引後価格</t>
  </si>
  <si>
    <t>▼無償報酬の割合</t>
  </si>
  <si>
    <t>割引</t>
  </si>
  <si>
    <t>◆【お一人様1回まで購入可】初心者おすすめ いいジャンパック</t>
  </si>
  <si>
    <t>event_item_pack_55</t>
  </si>
  <si>
    <t>BNEI0434_0113</t>
  </si>
  <si>
    <t>com.bandainamcoent.jumble_0113</t>
  </si>
  <si>
    <t>⇦購入制限があるものは「80%まで」が割引上限（セール上限）となります。
※上記以上の割引率での提供を行いたい場合はBNEプロデューサーへご相談ください。
とBNEレギュレーションに記載ありますので法務確認時にお願いいたします。</t>
  </si>
  <si>
    <t>⇦1ヶ月に1回、お一人様1回まで購入可能</t>
  </si>
  <si>
    <t>スペシャルガシャチケット</t>
  </si>
  <si>
    <t>備考：並び順はアーニャより上。販売優先度：高</t>
  </si>
  <si>
    <t>◆【お一人様5回まで購入可】原画強化パック</t>
  </si>
  <si>
    <t>ラインナップ新規</t>
  </si>
  <si>
    <t>機能開発が進んでから決める。バナー数割だしのため記載している</t>
  </si>
  <si>
    <t>event_item_pack_37</t>
  </si>
  <si>
    <t>BNEI0434_0092</t>
  </si>
  <si>
    <t>com.bandainamcoent.jumble_0092</t>
  </si>
  <si>
    <t>普通の原稿用紙（R）</t>
  </si>
  <si>
    <t>魂のインク（SR）</t>
  </si>
  <si>
    <t>伝説のペン（SSR）</t>
  </si>
  <si>
    <t>⇨最大購入回数まで購入することで、URの原画グレード5まで強化に必要な「〇〇作品の原画の表紙」
を除く原画強化アイテムが獲得できる。</t>
  </si>
  <si>
    <t xml:space="preserve">◆【お一人様1回まで購入可】アニバ限定 DXお得パック 梅 </t>
  </si>
  <si>
    <t>event_item_pack_38</t>
  </si>
  <si>
    <t>BNEI0434_0093</t>
  </si>
  <si>
    <t>com.bandainamcoent.jumble_0093</t>
  </si>
  <si>
    <t>カラーメモリー・グレー</t>
  </si>
  <si>
    <t>カラーメモリー・レッド</t>
  </si>
  <si>
    <t>カラーメモリー・グリーン</t>
  </si>
  <si>
    <t>カラーメモリー・ブルー</t>
  </si>
  <si>
    <t>カラーメモリー・イエロー</t>
  </si>
  <si>
    <t>フェスガシャチケット</t>
  </si>
  <si>
    <t>コイン</t>
  </si>
  <si>
    <t>無償販売</t>
  </si>
  <si>
    <t>▼おまけの割合</t>
  </si>
  <si>
    <t>↑80%以内になるように個数を調整する</t>
  </si>
  <si>
    <t>◆【お一人様2回まで購入可】アニバ限定 DXお得パック 竹</t>
  </si>
  <si>
    <t>event_item_pack_39</t>
  </si>
  <si>
    <t>BNEI0434_0094</t>
  </si>
  <si>
    <t>com.bandainamcoent.jumble_0094</t>
  </si>
  <si>
    <t>メモリーフラグメント・初級</t>
  </si>
  <si>
    <t>メモリーフラグメント・中級</t>
  </si>
  <si>
    <t>メモリーフラグメント・上級</t>
  </si>
  <si>
    <t>◆【お一人様1回まで購入可】アニバ限定 DXお得パック 松</t>
  </si>
  <si>
    <t>event_item_pack_40</t>
  </si>
  <si>
    <t>BNEI0434_0095</t>
  </si>
  <si>
    <t>com.bandainamcoent.jumble_0095</t>
  </si>
  <si>
    <t>UR1体確定10連ガシャチケット</t>
  </si>
  <si>
    <t>選べるURキャラのかけらBOX</t>
  </si>
  <si>
    <t>◆【お一人様1回まで購入可】アニバ限定 超DX ジャンブルパック</t>
  </si>
  <si>
    <t>event_item_pack_41</t>
  </si>
  <si>
    <t>BNEI0434_0096</t>
  </si>
  <si>
    <t>com.bandainamcoent.jumble_0096</t>
  </si>
  <si>
    <t>ピックアップガシャチケット</t>
  </si>
  <si>
    <t>◆【お一人様1回まで購入可】アニバ限定 特別パス</t>
  </si>
  <si>
    <t>premium_pass_03</t>
  </si>
  <si>
    <t>BNEI0434_0099</t>
  </si>
  <si>
    <t>com.bandainamcoent.jumble_0099</t>
  </si>
  <si>
    <t>■商品種別</t>
  </si>
  <si>
    <t>パス</t>
  </si>
  <si>
    <t>■合計価格(税込)</t>
  </si>
  <si>
    <t>■割引価格(税込)=販売価格</t>
  </si>
  <si>
    <t>■販売有効期限表示有無</t>
  </si>
  <si>
    <t>無</t>
  </si>
  <si>
    <t>■1日のプリズム獲得数</t>
  </si>
  <si>
    <t>⇦ログイン時に獲得できるのはOKだが、期間中にログインしていなかった分もその日数に応じてまとめて獲得できる仕様はNG。
広告スキップなどの効果はそもそもログインしないと使用できないので、BNEレギュには抵触しない認識。</t>
  </si>
  <si>
    <t>■1日のコイン獲得数</t>
  </si>
  <si>
    <t>■パスの有効日数(最大日数)</t>
  </si>
  <si>
    <t>⇦パスの有効期間は60日以内にする必要がある。</t>
  </si>
  <si>
    <t>■販売期間(有効期間)</t>
  </si>
  <si>
    <t>購入後30日まで</t>
  </si>
  <si>
    <t>⇦BNEレギュだと購入後の効果の期限が終了してからでないと再購入不可となっています。</t>
  </si>
  <si>
    <t>■配分NG確認（プリズム）</t>
  </si>
  <si>
    <t>■配分NG確認（コイン）</t>
  </si>
  <si>
    <t>■リリースキー</t>
  </si>
  <si>
    <t>合計個数</t>
  </si>
  <si>
    <t>有償区分</t>
  </si>
  <si>
    <t>プリズム</t>
  </si>
  <si>
    <t>無償扱い</t>
  </si>
  <si>
    <t>▼FB後追加商材</t>
  </si>
  <si>
    <t>◆【お一人様1回まで購入可】わくわく アーニャ パック</t>
  </si>
  <si>
    <t>spy_chara_pack_1</t>
  </si>
  <si>
    <t>BNEI0434_0112</t>
  </si>
  <si>
    <t>com.bandainamcoent.jumble_0112</t>
  </si>
  <si>
    <t>⇦リセットなし、お一人様1回まで購入可能</t>
  </si>
  <si>
    <t>アーニャ・フォージャー</t>
  </si>
  <si>
    <t>※元のアーニャパックは既存データとなるので該当デプロイ(202603020)にて
終了日時を変更する。(変更までは二つ表示される)</t>
  </si>
  <si>
    <t>今販売中のアーニャのパックの販売をハーフアニバ前半の開始日合わせで終了させ、新規IDを切ることで再販する。</t>
  </si>
  <si>
    <t>ガシャ詳細</t>
  </si>
  <si>
    <t>承認・設計担当</t>
  </si>
  <si>
    <t>ガシャ名</t>
  </si>
  <si>
    <t>ハーフアニバーサリー 感謝祭!DXフェスガシャ A</t>
  </si>
  <si>
    <t>企画</t>
  </si>
  <si>
    <t>ガシャID</t>
  </si>
  <si>
    <t>Fest_half_001</t>
  </si>
  <si>
    <t>種別</t>
  </si>
  <si>
    <t>フェス限定ガシャ</t>
  </si>
  <si>
    <t>開催期間</t>
  </si>
  <si>
    <t>~</t>
  </si>
  <si>
    <t>チケット設定</t>
  </si>
  <si>
    <t>有</t>
  </si>
  <si>
    <t>※BNEレギュレーションにより、すべてのガシャはチケットでひける前提で設定しなければならない。</t>
  </si>
  <si>
    <t>チケット名</t>
  </si>
  <si>
    <t>チケットID</t>
  </si>
  <si>
    <t>ticket_glo_00004</t>
  </si>
  <si>
    <t>チケット備考</t>
  </si>
  <si>
    <t>チケットのまとめ引きは、最大10連です。所持枚数の最大が10枚以下の場合、まとめ引きの最大数もそれに準じます。</t>
  </si>
  <si>
    <t>広告視聴設定有無</t>
  </si>
  <si>
    <t>広告視聴リセット有無</t>
  </si>
  <si>
    <t>広告視聴リセット時間</t>
  </si>
  <si>
    <t>分</t>
  </si>
  <si>
    <t>24時間→1,440
48時間→2,880
72時間→4,320</t>
  </si>
  <si>
    <r>
      <rPr>
        <rFont val="Arial"/>
      </rPr>
      <t>・</t>
    </r>
    <r>
      <rPr>
        <rFont val="Arial"/>
        <color rgb="FF1155CC"/>
        <u/>
      </rPr>
      <t>enable_add_ad_play_upper</t>
    </r>
    <r>
      <rPr>
        <rFont val="Arial"/>
      </rPr>
      <t xml:space="preserve">
・</t>
    </r>
    <r>
      <rPr>
        <rFont val="Arial"/>
        <color rgb="FF1155CC"/>
        <u/>
      </rPr>
      <t>ad_play_interval_time</t>
    </r>
  </si>
  <si>
    <t>ガシャ開催期間中
繰返しリセットを行う</t>
  </si>
  <si>
    <t>行わない</t>
  </si>
  <si>
    <t>天井設定</t>
  </si>
  <si>
    <t>天井回数</t>
  </si>
  <si>
    <t>回目</t>
  </si>
  <si>
    <t>確定枠設定</t>
  </si>
  <si>
    <t>確定枠詳細</t>
  </si>
  <si>
    <t>枠目</t>
  </si>
  <si>
    <t>有償無償合算使用可否</t>
  </si>
  <si>
    <t>可</t>
  </si>
  <si>
    <t>※有償プリズム限定の時→「否」にして下さい。基本は「可」です。</t>
  </si>
  <si>
    <t>有償プリズム限定設定</t>
  </si>
  <si>
    <t>単発設定</t>
  </si>
  <si>
    <t>単発プリズム個数</t>
  </si>
  <si>
    <t>個</t>
  </si>
  <si>
    <t>※デフォルト：150個</t>
  </si>
  <si>
    <t>10連設定</t>
  </si>
  <si>
    <t>10連プリズム個数</t>
  </si>
  <si>
    <t>※デフォルト：1,500個</t>
  </si>
  <si>
    <t>ガシャを引ける上限設定</t>
  </si>
  <si>
    <t>ガシャを引ける上限数</t>
  </si>
  <si>
    <t>連を</t>
  </si>
  <si>
    <t>まで</t>
  </si>
  <si>
    <t>※例：30連を1回まで。お一人30連まで引くことができます。</t>
  </si>
  <si>
    <t>banner_URL</t>
  </si>
  <si>
    <t>glo_00007</t>
  </si>
  <si>
    <t>ガシャ一覧バナーID</t>
  </si>
  <si>
    <t>gacha_banner_glo_00007</t>
  </si>
  <si>
    <t>ホームバナーID</t>
  </si>
  <si>
    <t>hometop_gacha_glo_00007</t>
  </si>
  <si>
    <t>キャラのかけら変換個数</t>
  </si>
  <si>
    <t>R：10</t>
  </si>
  <si>
    <t>←デフォルト</t>
  </si>
  <si>
    <t>SR：10</t>
  </si>
  <si>
    <t>SSR：20</t>
  </si>
  <si>
    <t>UR ：50</t>
  </si>
  <si>
    <t>ピックアップUR ：50</t>
  </si>
  <si>
    <t>ピックアップガシャと違って
天井が200、10連の10枠目がSR確定ではなくSSR確定になっています。
ピックアップ対象は山城 恋です。</t>
  </si>
  <si>
    <t>フェスガシャに下記キャラを追加。ピックアップ追加ではなく、単純なラインナップ追加
・UR：亜白ミナ、ユーリ、弔兵衛、リタ、アクア
・SSR：保科、桐馬、ルーク、B小町、黒川 あかね</t>
  </si>
  <si>
    <t>ガシャバナー用訴求文言</t>
  </si>
  <si>
    <t>ガシャ訴求文言</t>
  </si>
  <si>
    <r>
      <rPr>
        <rFont val="Arial"/>
        <b/>
        <color rgb="FFFF9900"/>
      </rPr>
      <t>「万物を統べる総組長 山城 恋」</t>
    </r>
    <r>
      <rPr>
        <rFont val="Arial"/>
        <color theme="1"/>
      </rPr>
      <t>の</t>
    </r>
    <r>
      <rPr>
        <rFont val="Arial"/>
        <b/>
        <color rgb="FF38761D"/>
      </rPr>
      <t>出現率UP中!</t>
    </r>
  </si>
  <si>
    <t>キャラ訴求文言
①万物を統べる総組長 山城 恋</t>
  </si>
  <si>
    <r>
      <rPr>
        <rFont val="Arial"/>
        <b/>
        <color rgb="FFFF9900"/>
      </rPr>
      <t>追い込まれるほど火力が高まり、</t>
    </r>
    <r>
      <rPr>
        <rFont val="Arial"/>
        <color theme="1"/>
      </rPr>
      <t>必殺ワザで</t>
    </r>
    <r>
      <rPr>
        <rFont val="Arial"/>
        <b/>
        <color rgb="FFFF9900"/>
      </rPr>
      <t>大ダメージを与える</t>
    </r>
    <r>
      <rPr>
        <rFont val="Arial"/>
        <color theme="1"/>
      </rPr>
      <t>ことのできるアタックキャラ!</t>
    </r>
    <r>
      <rPr>
        <rFont val="Arial"/>
        <b/>
        <color rgb="FFFF9900"/>
      </rPr>
      <t>「無敵」状態</t>
    </r>
    <r>
      <rPr>
        <rFont val="Arial"/>
        <color theme="1"/>
      </rPr>
      <t xml:space="preserve">を駆使してバトルを有利に進めよう! </t>
    </r>
  </si>
  <si>
    <t>ガシャマスター設定</t>
  </si>
  <si>
    <t>①ガシャ訴求文言</t>
  </si>
  <si>
    <t>「万物を統べる総組長 山城 恋」の出現率UP中!</t>
  </si>
  <si>
    <t>OprGachaI18n</t>
  </si>
  <si>
    <t>②訴求キャラ/ID</t>
  </si>
  <si>
    <t>chara_sur_00901</t>
  </si>
  <si>
    <t>③キャラ訴求文言</t>
  </si>
  <si>
    <t>キャラ性能待ち</t>
  </si>
  <si>
    <t>OprGachaDisplayUnitI18n</t>
  </si>
  <si>
    <t>レベデザ</t>
  </si>
  <si>
    <t>④天井表示</t>
  </si>
  <si>
    <t>ピックアップURキャラ1体確定!</t>
  </si>
  <si>
    <t>※緑色の文字</t>
  </si>
  <si>
    <t>ラインナップ</t>
  </si>
  <si>
    <t>設定確率</t>
  </si>
  <si>
    <t>ラインナップ数</t>
  </si>
  <si>
    <t>重み合計</t>
  </si>
  <si>
    <t>1体の重み</t>
  </si>
  <si>
    <t>ピックアップUR</t>
  </si>
  <si>
    <t>UR</t>
  </si>
  <si>
    <t>SSR</t>
  </si>
  <si>
    <t>SR</t>
  </si>
  <si>
    <t>R</t>
  </si>
  <si>
    <t>キャラID</t>
  </si>
  <si>
    <t>キャラ名</t>
  </si>
  <si>
    <t>レアリティ</t>
  </si>
  <si>
    <t>waight</t>
  </si>
  <si>
    <t>確率（項目単体単位）</t>
  </si>
  <si>
    <t>確率（レアリティ単位）</t>
  </si>
  <si>
    <t>chara_kai_00201</t>
  </si>
  <si>
    <t>chara_spy_00501</t>
  </si>
  <si>
    <t>chara_osh_00101</t>
  </si>
  <si>
    <t>chara_jig_00401</t>
  </si>
  <si>
    <t>chara_you_00001</t>
  </si>
  <si>
    <t>chara_spy_00101</t>
  </si>
  <si>
    <t>chara_spy_00201</t>
  </si>
  <si>
    <t>chara_spy_00001</t>
  </si>
  <si>
    <t>chara_dan_00002</t>
  </si>
  <si>
    <t>chara_gom_00001</t>
  </si>
  <si>
    <t>chara_chi_00002</t>
  </si>
  <si>
    <t>chara_kai_00002</t>
  </si>
  <si>
    <t>chara_yuw_00001</t>
  </si>
  <si>
    <t>chara_yuw_00101</t>
  </si>
  <si>
    <t>chara_sur_00101</t>
  </si>
  <si>
    <t>chara_jig_00001</t>
  </si>
  <si>
    <t>chara_mag_00001</t>
  </si>
  <si>
    <t>chara_sum_00101</t>
  </si>
  <si>
    <t>chara_kai_00401</t>
  </si>
  <si>
    <t>chara_osh_00201</t>
  </si>
  <si>
    <t>chara_osh_00301</t>
  </si>
  <si>
    <t>chara_osh_00401</t>
  </si>
  <si>
    <t>chara_osh_00501</t>
  </si>
  <si>
    <t>chara_jig_00501</t>
  </si>
  <si>
    <t>chara_you_00101</t>
  </si>
  <si>
    <t>chara_dan_00101</t>
  </si>
  <si>
    <t>chara_chi_00201</t>
  </si>
  <si>
    <t>chara_chi_00301</t>
  </si>
  <si>
    <t>chara_kai_00301</t>
  </si>
  <si>
    <t>chara_ron_00001</t>
  </si>
  <si>
    <t>chara_aha_00101</t>
  </si>
  <si>
    <t>chara_jig_00101</t>
  </si>
  <si>
    <t>chara_dos_00001</t>
  </si>
  <si>
    <t>chara_dos_00101</t>
  </si>
  <si>
    <t>chara_gom_00101</t>
  </si>
  <si>
    <t>chara_bat_00001</t>
  </si>
  <si>
    <t>chara_bat_00101</t>
  </si>
  <si>
    <t>chara_kai_00101</t>
  </si>
  <si>
    <t>chara_sur_00201</t>
  </si>
  <si>
    <t>chara_sur_00301</t>
  </si>
  <si>
    <t>chara_aha_00001</t>
  </si>
  <si>
    <t>chara_jig_00301</t>
  </si>
  <si>
    <t>chara_mag_00101</t>
  </si>
  <si>
    <t>chara_sum_00201</t>
  </si>
  <si>
    <t>chara_aka_00001</t>
  </si>
  <si>
    <t>chara_aka_00101</t>
  </si>
  <si>
    <t>chara_rik_00001</t>
  </si>
  <si>
    <t>chara_ron_00101</t>
  </si>
  <si>
    <t>chara_dan_00001</t>
  </si>
  <si>
    <t>chara_chi_00001</t>
  </si>
  <si>
    <t>chara_kai_00001</t>
  </si>
  <si>
    <t>chara_sur_00001</t>
  </si>
  <si>
    <t>chara_sum_00001</t>
  </si>
  <si>
    <t>SSR確定枠確率ラインナップ</t>
  </si>
  <si>
    <t>◼︎注意事項
・「ハーフアニバーサリー 感謝祭!DXフェスガシャ A」の内容や開催期間は、予告なく変更する場合がございます。
・「ハーフアニバーサリー 感謝祭!DXフェスガシャ A」はピックアップガシャになります。ピックアップガシャについては、「ピックアップガシャについて」をご確認ください。
・「ハーフアニバーサリー 感謝祭!DXフェスガシャ A」で出現するキャラクターの提供割合は、キャラクターによって異なります。
・「ハーフアニバーサリー 感謝祭!DXフェスガシャ A」で出現するキャラクターは重複する場合がございますが、同じキャラクターを重複して獲得はできません。
・サーバーとの通信状況によっては、ガシャ演出がスキップされてしまうことや、ガシャ演出の一部または全部が正常ではない状態で表示されることがございますが、キャラクターの獲得は正常に完了しております。
・ガシャは1回ごとに提供割合にもとづいて抽選を行います。そのため、提供割合が1%のキャラクターが100回中1回必ず出現するわけではございません。
・それぞれの提供割合は、小数第4位を切り捨てて表示しているため、合計値が100%にならない場合があります。
・本ガシャからは重複するキャラクターが出現する可能性があります。
・「ハーフアニバーサリー 感謝祭!DXフェスガシャ A」で199回以内にピックアップ対象のURキャラクターが出現しなかった場合、200回目が「ピックアップUR確定」になります。詳細は「ピックアップUR確定について」をご確認ください。
・10連ガシャのうち1回は「SSR以上」が確定で出現します。提供割合は、「SSR以上1体確定」の一覧に準じます。
・「ピックアップUR確定」と「SSR以上1体確定」以外の提供割合は、「通常提供割合」の一覧に準じます。
・キャラクターはLv.1の状態で出現します。強化後の状態で出現することはありません。
▼ピックアップガシャについて
・「ハーフアニバーサリー 感謝祭!DXフェスガシャ A」で初登場したキャラクターは、「ハーフアニバーサリー 感謝祭!DXフェスガシャ A」終了後出現しなくなります。
・「ハーフアニバーサリー 感謝祭!DXフェスガシャ A」で初登場したキャラクターは、次回以降のガシャに追加を予定しておりますが、提供割合、および追加時期は未定です。詳細はガシャ開催時にお知らせいたします。
▼「ピックアップUR確定」について
・「ハーフアニバーサリー 感謝祭!DXフェスガシャ A」で199回以内にピックアップ対象のURキャラクターが出現しなかった場合、200回目にピックアップ対象のURキャラクターが確定で出現します。
・「ピックアップUR確定」の提供割合は「ピックアップUR確定」の一覧に準じます。
・「ピックアップUR確定」までのガシャ回数は以下のいずれかに該当した場合にリセットされます。
　・199回目までにピックアップ対象のURキャラクターを獲得する
　・200回目にピックアップ対象のURキャラクターを確定で獲得する
・ガシャ回数は、有償・無償プリズムで引く、チケットで引く、を「ハーフアニバーサリー 感謝祭!DXフェスガシャ A」で行うとカウントされます。</t>
  </si>
  <si>
    <t>⬇︎これは前半の結果見て、デプロイから抜く判断する</t>
  </si>
  <si>
    <t>◆ハーフアニバーサリー(後半)お得プリズム</t>
  </si>
  <si>
    <t>▼追加になるかも商材(まだ未定)</t>
  </si>
  <si>
    <t>1年間広告スキップパス</t>
  </si>
  <si>
    <t>購入後365日まで</t>
  </si>
  <si>
    <t>⇩1日1回広告を視聴し、それを1ヶ月(30日)で1年分行った場合で計算</t>
  </si>
  <si>
    <r>
      <rPr>
        <rFont val="Arial"/>
        <b/>
        <color theme="1"/>
      </rPr>
      <t xml:space="preserve">&lt;広告視聴1回分の単価価値の目安&gt;
</t>
    </r>
    <r>
      <rPr>
        <rFont val="Arial"/>
        <color theme="1"/>
      </rPr>
      <t>広告視聴で回復できるスタミナ量がユーザー毎のスタミナ最大所持量の1/2となっている。
スタミナ全回復にプリズム30個を使用するので、ここに当てはめるとプリズム15個分と同価値と換算する。
上記を踏まえると広告1回視聴分の単価としては、30円分に値すると考える。</t>
    </r>
  </si>
  <si>
    <t>&lt;懸念&gt;
プレミアムパスも購入している場合の挙動はどうなるかが怪しい
⇨広告スキップの効果が重複になるので、プレミアムパスは別内容にして販売終了にして再販売させる必要あり</t>
  </si>
  <si>
    <t>▼追加になるかも商材の影響で内容変更する必要のあるパス(まだ未定)</t>
  </si>
  <si>
    <r>
      <rPr>
        <rFont val="Arial"/>
        <b/>
        <color rgb="FFFFFFFF"/>
        <sz val="9.0"/>
      </rPr>
      <t>◆【お一人様1回まで購入可】</t>
    </r>
    <r>
      <rPr>
        <rFont val="Arial"/>
        <b/>
        <color rgb="FFFF0000"/>
        <sz val="9.0"/>
      </rPr>
      <t>プレミアムパス</t>
    </r>
    <r>
      <rPr>
        <rFont val="Arial"/>
        <b/>
        <color rgb="FFFFFFFF"/>
        <sz val="9.0"/>
      </rPr>
      <t>⇨スペシャルパス</t>
    </r>
  </si>
  <si>
    <t>1日目</t>
  </si>
  <si>
    <t>2日目</t>
  </si>
  <si>
    <t>3日目</t>
  </si>
  <si>
    <t>NG</t>
  </si>
  <si>
    <t>×</t>
  </si>
  <si>
    <t>120(30+2日目の60)</t>
  </si>
  <si>
    <t>OK</t>
  </si>
  <si>
    <t>購入後25日まで</t>
  </si>
  <si>
    <t>■配分NG確認</t>
  </si>
  <si>
    <t>探索報酬獲量2倍</t>
  </si>
  <si>
    <r>
      <rPr>
        <rFont val="Arial"/>
        <color theme="1"/>
        <sz val="9.0"/>
      </rPr>
      <t xml:space="preserve">ゲーム内速度2-3倍開放も設定可能です。
</t>
    </r>
    <r>
      <rPr>
        <rFont val="Arial"/>
        <color rgb="FFFF0000"/>
        <sz val="9.0"/>
      </rPr>
      <t>・2倍効果の場合は、デフォルトの限界設定が1.5倍速になります。
(販売内容を追加する場合、個人的なおすすめはこれです)</t>
    </r>
    <r>
      <rPr>
        <rFont val="Arial"/>
        <color theme="1"/>
        <sz val="9.0"/>
      </rPr>
      <t xml:space="preserve">
・3倍効果の場合は、デフォルトの限定設定が2倍速になります。
※3倍速にするとキャラのモーションがおかしく見えてしまう懸念がありますので修正が必要かもです。
→リリース後に追加をして販売するのがいいかもです。</t>
    </r>
  </si>
  <si>
    <t>ハーフアニバーサリー 感謝祭!DXフェスガシャ B</t>
  </si>
  <si>
    <r>
      <rPr>
        <rFont val="Arial"/>
      </rPr>
      <t>・</t>
    </r>
    <r>
      <rPr>
        <rFont val="Arial"/>
        <color rgb="FF1155CC"/>
        <u/>
      </rPr>
      <t>enable_add_ad_play_upper</t>
    </r>
    <r>
      <rPr>
        <rFont val="Arial"/>
      </rPr>
      <t xml:space="preserve">
・</t>
    </r>
    <r>
      <rPr>
        <rFont val="Arial"/>
        <color rgb="FF1155CC"/>
        <u/>
      </rPr>
      <t>ad_play_interval_time</t>
    </r>
  </si>
  <si>
    <t>ピックアップガシャと違って
天井が200、10連の10枠目がSR確定ではなくSSR確定になっています。
ピックアップ対象は識別怪獣兵器1 鳴海 弦です。</t>
  </si>
  <si>
    <r>
      <rPr>
        <rFont val="Arial"/>
        <b/>
        <color rgb="FFFF9900"/>
      </rPr>
      <t>「識別怪獣兵器1 鳴海 弦」</t>
    </r>
    <r>
      <rPr>
        <rFont val="Arial"/>
        <color theme="1"/>
      </rPr>
      <t>の</t>
    </r>
    <r>
      <rPr>
        <rFont val="Arial"/>
        <b/>
        <color rgb="FF38761D"/>
      </rPr>
      <t>出現率UP中!</t>
    </r>
  </si>
  <si>
    <t>キャラ訴求文言</t>
  </si>
  <si>
    <r>
      <rPr>
        <rFont val="Arial"/>
        <color theme="1"/>
      </rPr>
      <t>必殺ワザで</t>
    </r>
    <r>
      <rPr>
        <rFont val="Arial"/>
        <b/>
        <color rgb="FFFF9900"/>
      </rPr>
      <t>相手のプラス効果を解除する</t>
    </r>
    <r>
      <rPr>
        <rFont val="Arial"/>
        <color theme="1"/>
      </rPr>
      <t>ぞ!</t>
    </r>
    <r>
      <rPr>
        <rFont val="Arial"/>
        <b/>
        <color rgb="FFFF9900"/>
      </rPr>
      <t>高い耐久力で味方を守る</t>
    </r>
    <r>
      <rPr>
        <rFont val="Arial"/>
        <color theme="1"/>
      </rPr>
      <t>ディフェンスキャラ!</t>
    </r>
  </si>
  <si>
    <t>「識別怪獣兵器1 鳴海 弦」の出現率UP中!</t>
  </si>
  <si>
    <t>chara_kai_00701</t>
  </si>
  <si>
    <t>chara_dan_00202</t>
  </si>
  <si>
    <t>レアリティ/
ピックアップ</t>
  </si>
  <si>
    <t>◼︎注意事項
・「ハーフアニバーサリー 感謝祭!DXフェスガシャ B」の内容や開催期間は、予告なく変更する場合がございます。
・「ハーフアニバーサリー 感謝祭!DXフェスガシャ B」はピックアップガシャになります。ピックアップガシャについては、「ピックアップガシャについて」をご確認ください。
・「ハーフアニバーサリー 感謝祭!DXフェスガシャ B」で出現するキャラクターの提供割合は、キャラクターによって異なります。
・「ハーフアニバーサリー 感謝祭!DXフェスガシャ B」で出現するキャラクターは重複する場合がございますが、同じキャラクターを重複して獲得はできません。
・サーバーとの通信状況によっては、ガシャ演出がスキップされてしまうことや、ガシャ演出の一部または全部が正常ではない状態で表示されることがございますが、キャラクターの獲得は正常に完了しております。
・ガシャは1回ごとに提供割合にもとづいて抽選を行います。そのため、提供割合が1%のキャラクターが100回中1回必ず出現するわけではございません。
・それぞれの提供割合は、小数第4位を切り捨てて表示しているため、合計値が100%にならない場合があります。
・本ガシャからは重複するキャラクターが出現する可能性があります。
・「ハーフアニバーサリー 感謝祭!DXフェスガシャ B」で199回以内にピックアップ対象のURキャラクターが出現しなかった場合、200回目が「ピックアップUR確定」になります。詳細は「ピックアップUR確定について」をご確認ください。
・10連ガシャのうち1回は「SSR以上」が確定で出現します。提供割合は、「SSR以上1体確定」の一覧に準じます。
・「ピックアップUR確定」と「SSR以上1体確定」以外の提供割合は、「通常提供割合」の一覧に準じます。
・キャラクターはLv.1の状態で出現します。強化後の状態で出現することはありません。
▼ピックアップガシャについて
・「ハーフアニバーサリー 感謝祭!DXフェスガシャ B」で初登場したキャラクターは、「ハーフアニバーサリー 感謝祭!DXフェスガシャ B」終了後出現しなくなります。
・「ハーフアニバーサリー 感謝祭!DXフェスガシャ B」で初登場したキャラクターは、次回以降のガシャに追加を予定しておりますが、提供割合、および追加時期は未定です。詳細はガシャ開催時にお知らせいたします。
▼「ピックアップUR確定」について
・「ハーフアニバーサリー 感謝祭!DXフェスガシャ B」で199回以内にピックアップ対象のURキャラクターが出現しなかった場合、200回目にピックアップ対象のURキャラクターが確定で出現します。
・「ピックアップUR確定」の提供割合は「ピックアップUR確定」の一覧に準じます。
・「ピックアップUR確定」までのガシャ回数は以下のいずれかに該当した場合にリセットされます。
　・199回目までにピックアップ対象のURキャラクターを獲得する
　・200回目にピックアップ対象のURキャラクターを確定で獲得する
・ガシャ回数は、有償・無償プリズムで引く、チケットで引く、を「ハーフアニバーサリー 感謝祭!DXフェスガシャ B」で行うとカウントされます。</t>
  </si>
  <si>
    <t>ハーフアニバーサリー 感謝祭!ピックアップガシャ</t>
  </si>
  <si>
    <t>Pickup_half_001</t>
  </si>
  <si>
    <t>ピックアップガシャ</t>
  </si>
  <si>
    <t>ticket_glo_00003</t>
  </si>
  <si>
    <r>
      <rPr>
        <rFont val="Arial"/>
      </rPr>
      <t>・</t>
    </r>
    <r>
      <rPr>
        <rFont val="Arial"/>
        <color rgb="FF1155CC"/>
        <u/>
      </rPr>
      <t>enable_add_ad_play_upper</t>
    </r>
    <r>
      <rPr>
        <rFont val="Arial"/>
      </rPr>
      <t xml:space="preserve">
・</t>
    </r>
    <r>
      <rPr>
        <rFont val="Arial"/>
        <color rgb="FF1155CC"/>
        <u/>
      </rPr>
      <t>ad_play_interval_time</t>
    </r>
  </si>
  <si>
    <t>glo_00009</t>
  </si>
  <si>
    <t>gacha_banner_glo_00009</t>
  </si>
  <si>
    <t>hometop_gacha_glo_00009</t>
  </si>
  <si>
    <r>
      <rPr>
        <rFont val="Arial"/>
        <color theme="1"/>
      </rPr>
      <t>怪獣8号から</t>
    </r>
    <r>
      <rPr>
        <rFont val="Arial"/>
        <b/>
        <color rgb="FFFF9900"/>
      </rPr>
      <t>新URキャラ1体</t>
    </r>
    <r>
      <rPr>
        <rFont val="Arial"/>
        <color theme="1"/>
      </rPr>
      <t>と
ゲーミングお嬢様、【推しの子】から</t>
    </r>
    <r>
      <rPr>
        <rFont val="Arial"/>
        <b/>
        <color rgb="FFFF00FF"/>
      </rPr>
      <t>新SSRキャラ2体</t>
    </r>
    <r>
      <rPr>
        <rFont val="Arial"/>
        <color theme="1"/>
      </rPr>
      <t>の</t>
    </r>
    <r>
      <rPr>
        <rFont val="Arial"/>
        <b/>
        <color rgb="FF38761D"/>
      </rPr>
      <t>出現率UP中!</t>
    </r>
  </si>
  <si>
    <t>キャラ訴求文言
①識別怪獣兵器6 市川 レノ</t>
  </si>
  <si>
    <r>
      <rPr>
        <rFont val="Arial"/>
        <b/>
        <color rgb="FFFF9900"/>
      </rPr>
      <t>必殺ワザで複数の相手を氷結状態にし、動きを封じることのできる</t>
    </r>
    <r>
      <rPr>
        <rFont val="Arial"/>
        <color theme="1"/>
      </rPr>
      <t>テクニカルキャラ!さらに、</t>
    </r>
    <r>
      <rPr>
        <rFont val="Arial"/>
        <b/>
        <color rgb="FFFF9900"/>
      </rPr>
      <t>相手を攻撃DOWN状態</t>
    </r>
    <r>
      <rPr>
        <rFont val="Arial"/>
        <color theme="1"/>
      </rPr>
      <t>にすることもできるぞ!</t>
    </r>
  </si>
  <si>
    <t>キャラ訴求文言
②斉藤 ミヤコ</t>
  </si>
  <si>
    <r>
      <rPr>
        <rFont val="Arial"/>
        <color theme="1"/>
      </rPr>
      <t>必殺ワザで</t>
    </r>
    <r>
      <rPr>
        <rFont val="Arial"/>
        <b/>
        <color rgb="FFFF9900"/>
      </rPr>
      <t>特定のコマにいる味方の</t>
    </r>
    <r>
      <rPr>
        <rFont val="Arial"/>
        <color rgb="FFFF9900"/>
      </rPr>
      <t>攻撃をUP</t>
    </r>
    <r>
      <rPr>
        <rFont val="Arial"/>
        <color theme="1"/>
      </rPr>
      <t>するぞ!</t>
    </r>
    <r>
      <rPr>
        <rFont val="Arial"/>
        <b/>
        <color rgb="FFFF9900"/>
      </rPr>
      <t>味方のテクニカルキャラはさらに攻撃UP!</t>
    </r>
  </si>
  <si>
    <t>キャラ訴求文言
③祥龍院 隆子</t>
  </si>
  <si>
    <r>
      <rPr>
        <rFont val="Arial"/>
        <color theme="1"/>
      </rPr>
      <t>必殺ワザで</t>
    </r>
    <r>
      <rPr>
        <rFont val="Arial"/>
        <b/>
        <color rgb="FFFF9900"/>
      </rPr>
      <t>自身の攻撃をUP</t>
    </r>
    <r>
      <rPr>
        <rFont val="Arial"/>
        <color theme="1"/>
      </rPr>
      <t>するアタックキャラ!</t>
    </r>
  </si>
  <si>
    <t>怪獣8号から新URキャラ1体と
ゲーミングお嬢様、【推しの子】から新SSRキャラ2体の出現率UP中!</t>
  </si>
  <si>
    <t>①識別怪獣兵器6 市川 レノ：UR
②斉藤 ミヤコ：SSR
③祥龍院 隆子：SSR</t>
  </si>
  <si>
    <t>chara_kai_00102</t>
  </si>
  <si>
    <t>②-1訴求キャラ/ID</t>
  </si>
  <si>
    <t>chara_osh_00801</t>
  </si>
  <si>
    <t>③-1キャラ訴求文言</t>
  </si>
  <si>
    <t>chara_gam_00001</t>
  </si>
  <si>
    <t>ピックアップSSR</t>
  </si>
  <si>
    <t>※ピックアップは1体0.75を基本とする</t>
  </si>
  <si>
    <t>SR確定枠確率ラインナップ</t>
  </si>
  <si>
    <t>◼︎注意事項
・「ハーフアニバーサリー 感謝祭!ピックアップガシャ」の内容や開催期間は、予告なく変更する場合がございます。
・「ハーフアニバーサリー 感謝祭!ピックアップガシャ」で出現するキャラクターの提供割合は、キャラクターによって異なります。
・「ハーフアニバーサリー 感謝祭!ピックアップガシャ」で出現するキャラクターは重複する場合がございますが、同じキャラクターを重複して獲得はできません。
・サーバーとの通信状況によっては、ガシャ演出がスキップされてしまうことや、ガシャ演出の一部または全部が正常ではない状態で表示されることがございますが、キャラクターの獲得は正常に完了しております。
・ガシャは1回ごとに提供割合にもとづいて抽選を行います。そのため、提供割合が1%のキャラクターが100回中1回必ず出現するわけではございません。
・それぞれの提供割合は、小数第4位を切り捨てて表示しているため、合計値が100%にならない場合があります。
・本ガシャからは重複するキャラクターが出現する可能性があります。
・「ハーフアニバーサリー 感謝祭!ピックアップガシャ」で99回以内にピックアップ対象のURキャラクターが出現しなかった場合、100回目が「ピックアップUR確定」になります。詳細は「ピックアップUR確定について」をご確認ください。
・10連ガシャのうち1回は「SR以上」が確定で出現します。提供割合は、「SR以上1体確定」の一覧に準じます。
・「ピックアップUR確定」と「SR以上1体確定」以外の提供割合は、「通常提供割合」の一覧に準じます。
・キャラクターはLv.1の状態で出現します。強化後の状態で出現することはありません。
▼ピックアップガシャについて
・「ハーフアニバーサリー 感謝祭!ピックアップガシャ」で初登場したキャラクターは、「ハーフアニバーサリー 感謝祭!ピックアップガシャ」終了後出現しなくなります。
・「ハーフアニバーサリー 感謝祭!ピックアップガシャ」で初登場したキャラクターは、次回以降のガシャに追加を予定しておりますが、提供割合、および追加時期は未定です。詳細はガシャ開催時にお知らせいたします。
▼「ピックアップUR確定」について
・「ハーフアニバーサリー 感謝祭!ピックアップガシャ」で99回以内にピックアップ対象のURキャラクターが出現しなかった場合、100回目にピックアップ対象のURキャラクターが確定で出現します。
・「ピックアップUR確定」の提供割合は「ピックアップUR確定」の一覧に準じます。
・「ピックアップUR確定」までのガシャ回数は以下のいずれかに該当した場合にリセットされます。
　・99回目までにピックアップ対象のURキャラクターを獲得する
　・100回目にピックアップ対象のURキャラクターを確定で獲得する
・ガシャ回数は、有償・無償プリズムで引く、チケットで引く、を「ハーフアニバーサリー 感謝祭!ピックアップガシャ」で行うとカウントされます。</t>
  </si>
  <si>
    <t>ハーフアニバーサリー 感謝祭！記念ステップアップガシャ</t>
  </si>
  <si>
    <t>https://docs.google.com/spreadsheets/d/1NEyOF3xLjKGnVfPiivIT-dr9CG19DoEYYiUOXdO-q-4/edit?gid=1036379318#gid=1036379318</t>
  </si>
  <si>
    <t>永続ループ設定できましたっけ？（ステップ5が終わるとステップ1に戻ってくる）</t>
  </si>
  <si>
    <t>必要リソース</t>
  </si>
  <si>
    <t>確定枠</t>
  </si>
  <si>
    <t>有償分の価格とおまけ扱いのアイテムの金額が20%以内かを計算するシートを用意</t>
  </si>
  <si>
    <t>ステップ1</t>
  </si>
  <si>
    <t>有償1500個</t>
  </si>
  <si>
    <t>スタミナドリンク×10</t>
  </si>
  <si>
    <t>SSR1体以上確定</t>
  </si>
  <si>
    <t>ステップアップガシャのバナーに表示するキャラは、亜白ミナとユーリにする</t>
  </si>
  <si>
    <t>ステップ2</t>
  </si>
  <si>
    <t>無料</t>
  </si>
  <si>
    <t>なし</t>
  </si>
  <si>
    <t>SR1体以上確定</t>
  </si>
  <si>
    <t>ステップ3</t>
  </si>
  <si>
    <t>有償1000個</t>
  </si>
  <si>
    <t>UR1体以上確定</t>
  </si>
  <si>
    <t>ステップ4</t>
  </si>
  <si>
    <t>ステップ5</t>
  </si>
  <si>
    <t>有償500個</t>
  </si>
  <si>
    <t>UR2体以上確定</t>
  </si>
  <si>
    <t>リリース時R以上キャラ+怪獣8号、SPYいいジャン祭のUR、SSRキャラ</t>
  </si>
  <si>
    <t>焦点：これ設定できるかをエンジニアに事前確認お願いします</t>
  </si>
  <si>
    <t>→要件に入れていただければ対応できるかも(クライアント)</t>
  </si>
  <si>
    <t>→現状のサーバー側実装で要件は満たせてる(サーバー)</t>
  </si>
  <si>
    <t>担当：サーバーは上岡さん、クライアントは澤田さん</t>
  </si>
  <si>
    <t>stepup_half_1</t>
  </si>
  <si>
    <t>ステップアップガシャ</t>
  </si>
  <si>
    <t>『補てん』ステップアップガシャチケット</t>
  </si>
  <si>
    <t>ticket_glo_00208</t>
  </si>
  <si>
    <r>
      <rPr>
        <rFont val="Arial"/>
      </rPr>
      <t>・</t>
    </r>
    <r>
      <rPr>
        <rFont val="Arial"/>
        <color rgb="FF1155CC"/>
        <u/>
      </rPr>
      <t>enable_add_ad_play_upper</t>
    </r>
    <r>
      <rPr>
        <rFont val="Arial"/>
      </rPr>
      <t xml:space="preserve">
・</t>
    </r>
    <r>
      <rPr>
        <rFont val="Arial"/>
        <color rgb="FF1155CC"/>
        <u/>
      </rPr>
      <t>ad_play_interval_time</t>
    </r>
  </si>
  <si>
    <t>購入ループ設定</t>
  </si>
  <si>
    <t>ループ回数</t>
  </si>
  <si>
    <t>ステップ数</t>
  </si>
  <si>
    <t>glo_00010</t>
  </si>
  <si>
    <t>gacha_banner_glo_00010</t>
  </si>
  <si>
    <t>hometop_gacha_glo_00010</t>
  </si>
  <si>
    <r>
      <rPr>
        <rFont val="Arial"/>
        <color theme="1"/>
      </rPr>
      <t>怪獣8号とSPY×FAMILYの</t>
    </r>
    <r>
      <rPr>
        <rFont val="Arial"/>
        <b/>
        <color rgb="FFFF9900"/>
      </rPr>
      <t>URキャラ</t>
    </r>
    <r>
      <rPr>
        <rFont val="Arial"/>
        <color theme="1"/>
      </rPr>
      <t>が再登場!
ステップ5は</t>
    </r>
    <r>
      <rPr>
        <rFont val="Arial"/>
        <b/>
        <color rgb="FFFF9900"/>
      </rPr>
      <t>UR1体が確</t>
    </r>
    <r>
      <rPr>
        <rFont val="Arial"/>
        <color rgb="FFFF9900"/>
      </rPr>
      <t>定!</t>
    </r>
    <r>
      <rPr>
        <rFont val="Arial"/>
        <b/>
        <color rgb="FFFF00FF"/>
      </rPr>
      <t>お得なおまけ</t>
    </r>
    <r>
      <rPr>
        <rFont val="Arial"/>
        <color theme="1"/>
      </rPr>
      <t>がついてくる</t>
    </r>
    <r>
      <rPr>
        <rFont val="Arial"/>
        <b/>
        <color rgb="FF38761D"/>
      </rPr>
      <t>ステップアップガシャ</t>
    </r>
    <r>
      <rPr>
        <rFont val="Arial"/>
        <color theme="1"/>
      </rPr>
      <t xml:space="preserve">
周回数は</t>
    </r>
    <r>
      <rPr>
        <rFont val="Arial"/>
        <b/>
        <color rgb="FFFF9900"/>
      </rPr>
      <t>無制限!!</t>
    </r>
  </si>
  <si>
    <t>不要</t>
  </si>
  <si>
    <t>怪獣8号とSPY×FAMILYのURキャラが再登場!
ステップ5はUR2体が確定!お得なおまけが付いてくるステップアップガシャ</t>
  </si>
  <si>
    <t>リリース時R以上キャラ+
怪獣8号、SPYいいジャン祭のUR、SSRキャラ</t>
  </si>
  <si>
    <t>遠距離から単体と範囲攻撃を使い分ける器用なアタッカー！</t>
  </si>
  <si>
    <t>必殺ワザの
ダメージカットで
味方を守る
ディフェンスキャラ!</t>
  </si>
  <si>
    <t>近距離で素早く攻撃し、必殺ワザの連続攻撃で大ダメージ！</t>
  </si>
  <si>
    <t>URキャラ1体確定!</t>
  </si>
  <si>
    <t>ステップアップ設定</t>
  </si>
  <si>
    <t>10連ガシャ</t>
  </si>
  <si>
    <t>有償プリズム500個</t>
  </si>
  <si>
    <t>有償プリズム1000個</t>
  </si>
  <si>
    <t>SSR以上1体確定</t>
  </si>
  <si>
    <t>SR以上1体確定</t>
  </si>
  <si>
    <t>SSR以上2体確定</t>
  </si>
  <si>
    <t>無し</t>
  </si>
  <si>
    <t>有償プリズム1500個</t>
  </si>
  <si>
    <t>UR1体確定</t>
  </si>
  <si>
    <t>確定枠ラインナップ</t>
  </si>
  <si>
    <t>UR確定枠確率ラインナップ</t>
  </si>
  <si>
    <t>『補てん』ハーフアニバーサリー 感謝祭！記念ステップアップガシャチケット</t>
  </si>
  <si>
    <r>
      <rPr>
        <rFont val="Arial"/>
      </rPr>
      <t>・</t>
    </r>
    <r>
      <rPr>
        <rFont val="Arial"/>
        <color rgb="FF1155CC"/>
        <u/>
      </rPr>
      <t>enable_add_ad_play_upper</t>
    </r>
    <r>
      <rPr>
        <rFont val="Arial"/>
      </rPr>
      <t xml:space="preserve">
・</t>
    </r>
    <r>
      <rPr>
        <rFont val="Arial"/>
        <color rgb="FF1155CC"/>
        <u/>
      </rPr>
      <t>ad_play_interval_time</t>
    </r>
  </si>
  <si>
    <t>SSR2体以上確定</t>
  </si>
  <si>
    <t>◼︎注意事項
・「ハーフアニバーサリー 感謝祭!記念ステップアップガシャ」の内容や開催期間は、予告なく変更する場合がございます。
・「ハーフアニバーサリー 感謝祭!記念ステップアップガシャ」で出現するキャラクターの提供割合は、キャラクターによって異なります。
・「ハーフアニバーサリー 感謝祭!記念ステップアップガシャ」で出現するキャラクターは重複する場合がございますが、同じキャラクターを重複して獲得はできません。
・サーバーとの通信状況によっては、ガシャ演出がスキップされてしまうことや、ガシャ演出の一部または全部が正常ではない状態で表示されることがございますが、キャラクターとおまけの獲得は正常に完了しております。
・ガシャは1回ごとに提供割合にもとづいて抽選を行います。そのため、提供割合が1%のキャラクターが100回中1回必ず出現するわけではございません。
・それぞれの提供割合は、小数第4位を切り捨てて表示しているため、合計値が100%にならない場合があります。
・本ガシャからは重複するキャラクターが出現する可能性があります。
・STEP5のガシャをプレイすると、再びSTEP1に戻ります。
・「ハーフアニバーサリー 感謝祭!記念ステップアップガシャ」において、特定のSTEPで「UR1体確定」などの特典がある場合、その特典は当該STEPの特定の枠内にのみ適用されます。
・STEPの進行状況は、対象ガシャの開催期間終了とともにリセットされ、他のガシャには引き継がれません。
・「UR1体確定」と「SSR以上2体確定」、「SSR以上1体確定」、「SR以上1体確定」以外の提供割合は、「通常提供割合」の一覧に準じます。
・キャラクターはLv.1の状態で出現します。強化後の状態で出現することはありません。</t>
  </si>
  <si>
    <t>※ステップアップガシャのガシャ詳細のガシャ情報に記載する文言はウマ娘かバウンティラッシュの文言を参考にしてください。</t>
  </si>
  <si>
    <t>感謝チケットガシャ</t>
  </si>
  <si>
    <t>thanks_001</t>
  </si>
  <si>
    <t>OprGacha</t>
  </si>
  <si>
    <t>メダルガシャ</t>
  </si>
  <si>
    <t>「HasTicket」が使えるようなるので無期限が可能</t>
  </si>
  <si>
    <t>感謝チケット</t>
  </si>
  <si>
    <t>ticket_f05anniv_10004</t>
  </si>
  <si>
    <t>チケット画像ファイルID</t>
  </si>
  <si>
    <r>
      <rPr>
        <rFont val="Arial"/>
      </rPr>
      <t>・</t>
    </r>
    <r>
      <rPr>
        <rFont val="Arial"/>
        <color rgb="FF1155CC"/>
        <u/>
      </rPr>
      <t>enable_add_ad_play_upper</t>
    </r>
    <r>
      <rPr>
        <rFont val="Arial"/>
      </rPr>
      <t xml:space="preserve">
・</t>
    </r>
    <r>
      <rPr>
        <rFont val="Arial"/>
        <color rgb="FF1155CC"/>
        <u/>
      </rPr>
      <t>ad_play_interval_time</t>
    </r>
  </si>
  <si>
    <t>※行う：開催期間中毎日リセット時間を迎えるとリセットを行います。
※行わない：開催期間中、1日に視聴できる回数</t>
  </si>
  <si>
    <t>チケットのみ</t>
  </si>
  <si>
    <t>1回</t>
  </si>
  <si>
    <t>glo_00011</t>
  </si>
  <si>
    <t>gacha_banner_glo_00011</t>
  </si>
  <si>
    <t>基本仕様は賀正ガシャを準拠</t>
  </si>
  <si>
    <t>天井、確定枠なし</t>
  </si>
  <si>
    <t>最大100連(企画担当者確認</t>
  </si>
  <si>
    <t>確率変更あり。提供割合は見えないガシャ</t>
  </si>
  <si>
    <t>施策で手に入るチケットでのみ引ける</t>
  </si>
  <si>
    <t>チケット所持中のみガシャ一覧に表示される</t>
  </si>
  <si>
    <r>
      <rPr>
        <rFont val="Arial"/>
        <b/>
        <color rgb="FFFFD966"/>
      </rPr>
      <t>最大100連！</t>
    </r>
    <r>
      <rPr>
        <rFont val="Arial"/>
        <color theme="1"/>
      </rPr>
      <t>ミッションをクリアして</t>
    </r>
    <r>
      <rPr>
        <rFont val="Arial"/>
        <color rgb="FFFF00FF"/>
      </rPr>
      <t>「感謝チケット」</t>
    </r>
    <r>
      <rPr>
        <rFont val="Arial"/>
        <color theme="1"/>
      </rPr>
      <t>を</t>
    </r>
    <r>
      <rPr>
        <rFont val="Arial"/>
        <b/>
        <color rgb="FF4A86E8"/>
      </rPr>
      <t>集めよう！</t>
    </r>
  </si>
  <si>
    <t>バナーに表示するキャラ
※訴求文言は無し
①ターボババアの霊力 オカルンUR
②コスプレに託す乙女心 橘 美花莉UR
③秋野 沙友理SSR
④ライドウSR
⑤デンジR</t>
  </si>
  <si>
    <t>※バナー掲載のみでガシャディスプレイには並ばない</t>
  </si>
  <si>
    <t>②-2訴求キャラ/ID</t>
  </si>
  <si>
    <t>③-2キャラ訴求文言</t>
  </si>
  <si>
    <t>②-3訴求キャラ/ID</t>
  </si>
  <si>
    <t>③-3キャラ訴求文言</t>
  </si>
  <si>
    <t>②-4訴求キャラ/ID</t>
  </si>
  <si>
    <t>③-4キャラ訴求文言</t>
  </si>
  <si>
    <t>②-5訴求キャラ/ID</t>
  </si>
  <si>
    <t>③-5キャラ訴求文言</t>
  </si>
  <si>
    <t>◆【お一人様1回まで購入可】いいジャン祭パック</t>
  </si>
  <si>
    <t>event_item_pack_35</t>
  </si>
  <si>
    <t>BNEI0434_0086</t>
  </si>
  <si>
    <t>com.bandainamcoent.jumble_0086</t>
  </si>
  <si>
    <t>⇦いいジャン祭の開催に合わせて再販（2週間に1回）、お一人様1回まで購入可能</t>
  </si>
  <si>
    <t>event_item_pack_49</t>
  </si>
  <si>
    <t>BNEI0434_0105</t>
  </si>
  <si>
    <t>com.bandainamcoent.jumble_0105</t>
  </si>
  <si>
    <t>◆【お一人様5回まで購入可】いいジャン祭 楽しもうパック</t>
  </si>
  <si>
    <t>再販予定汎用性のあるバナーにする</t>
  </si>
  <si>
    <t>event_item_pack_42</t>
  </si>
  <si>
    <t>BNEI0434_0097</t>
  </si>
  <si>
    <t>com.bandainamcoent.jumble_0097</t>
  </si>
  <si>
    <t>⇦お試しで売る低単価のパック</t>
  </si>
  <si>
    <t>◆【お一人様1回まで購入可】お得強化パック</t>
  </si>
  <si>
    <t>既存(再販売)</t>
  </si>
  <si>
    <t>monthly_item_pack_5</t>
  </si>
  <si>
    <t>BNEI0434_0108</t>
  </si>
  <si>
    <t>com.bandainamcoent.jumble_0108</t>
  </si>
  <si>
    <t>毎月、月初めに販売</t>
  </si>
  <si>
    <t>※1.7.0（202605010）</t>
  </si>
  <si>
    <t>5/1 11:00~15:00強制アプデ</t>
  </si>
  <si>
    <t>4月分</t>
  </si>
  <si>
    <t>◆【お一人様1回まで購入可】いいジャン!スタミナドリンクパック</t>
  </si>
  <si>
    <t>event_item_pack_52</t>
  </si>
  <si>
    <t>BNEI0434_0109</t>
  </si>
  <si>
    <t>com.bandainamcoent.jumble_0109</t>
  </si>
  <si>
    <t>⇦毎月月初に再販売予定</t>
  </si>
  <si>
    <t>◆【お一人様1回まで購入可】スタミナブースト応援パック</t>
  </si>
  <si>
    <t>event_item_pack_53</t>
  </si>
  <si>
    <t>BNEI0434_0110</t>
  </si>
  <si>
    <t>com.bandainamcoent.jumble_0110</t>
  </si>
  <si>
    <t>⇦毎月月初に再販売予定?</t>
  </si>
  <si>
    <t>◆【お一人様1回まで購入可】即戦力!キャラ強化パック</t>
  </si>
  <si>
    <t>event_item_pack_43</t>
  </si>
  <si>
    <t>BNEI0434_0098</t>
  </si>
  <si>
    <t>com.bandainamcoent.jumble_0098</t>
  </si>
  <si>
    <t>⇦降臨、ランクマ、高難易度などに合わせて再販売予定</t>
  </si>
  <si>
    <t>降臨バトル合わせ</t>
  </si>
  <si>
    <t>event_item_pack_54</t>
  </si>
  <si>
    <t>BNEI0434_0111</t>
  </si>
  <si>
    <t>com.bandainamcoent.jumble_0111</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</si>
</sst>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411]#,##0"/>
    <numFmt numFmtId="165" formatCode="yyyy/mm/dd h:mm"/>
    <numFmt numFmtId="166" formatCode="[$¥-411]#,##0.00"/>
    <numFmt numFmtId="167" formatCode="[$¥-411]#,##0.00;[red]-[$¥-411]#,##0.00"/>
    <numFmt numFmtId="168" formatCode="&quot;¥&quot;#,##0"/>
    <numFmt numFmtId="169" formatCode="m/d h:mm"/>
    <numFmt numFmtId="170" formatCode="&quot;¥&quot;#,##0.00"/>
    <numFmt numFmtId="171" formatCode="yyyy/mm/dd h:mm:ss"/>
    <numFmt numFmtId="172" formatCode="yyyy/m/d h:mm"/>
    <numFmt numFmtId="173" formatCode="0.0%"/>
    <numFmt numFmtId="174" formatCode="0.0"/>
    <numFmt numFmtId="175" formatCode="0.000%"/>
    <numFmt numFmtId="176" formatCode="mm/dd h:mm:ss"/>
  </numFmts>
  <fonts count="35">
    <font>
      <sz val="10.0"/>
      <color rgb="FF000000"/>
      <name val="Arial"/>
      <scheme val="minor"/>
    </font>
    <font>
      <color theme="1"/>
      <name val="Arial"/>
    </font>
    <font>
      <color rgb="FFFF0000"/>
      <name val="Arial"/>
    </font>
    <font>
      <b/>
      <color rgb="FFFFFFFF"/>
      <name val="Arial"/>
    </font>
    <font>
      <b/>
      <u/>
      <sz val="11.0"/>
      <color rgb="FF0000FF"/>
      <name val="&quot;Google Sans&quot;"/>
    </font>
    <font>
      <b/>
      <u/>
      <color rgb="FF0000FF"/>
    </font>
    <font>
      <color theme="1"/>
      <name val="Arial"/>
      <scheme val="minor"/>
    </font>
    <font>
      <sz val="9.0"/>
      <color theme="1"/>
      <name val="Arial"/>
    </font>
    <font>
      <sz val="11.0"/>
      <color theme="1"/>
      <name val="Arial"/>
      <scheme val="minor"/>
    </font>
    <font>
      <b/>
      <sz val="9.0"/>
      <color rgb="FFFFFFFF"/>
      <name val="Arial"/>
    </font>
    <font>
      <b/>
      <sz val="9.0"/>
      <color theme="1"/>
      <name val="Arial"/>
    </font>
    <font>
      <sz val="9.0"/>
      <color rgb="FFFFFFFF"/>
      <name val="Arial"/>
    </font>
    <font/>
    <font>
      <sz val="9.0"/>
      <color rgb="FFFF0000"/>
      <name val="Arial"/>
    </font>
    <font>
      <b/>
      <sz val="14.0"/>
      <color rgb="FFFF0000"/>
      <name val="Arial"/>
    </font>
    <font>
      <b/>
      <sz val="16.0"/>
      <color rgb="FFFF0000"/>
      <name val="Arial"/>
    </font>
    <font>
      <b/>
      <sz val="9.0"/>
      <color rgb="FFFF0000"/>
      <name val="Arial"/>
    </font>
    <font>
      <b/>
      <color rgb="FFFF0000"/>
      <name val="Arial"/>
      <scheme val="minor"/>
    </font>
    <font>
      <sz val="14.0"/>
      <color theme="1"/>
      <name val="Arial"/>
      <scheme val="minor"/>
    </font>
    <font>
      <sz val="10.0"/>
      <color theme="1"/>
      <name val="Arial"/>
      <scheme val="minor"/>
    </font>
    <font>
      <sz val="9.0"/>
      <color theme="1"/>
      <name val="Arial"/>
      <scheme val="minor"/>
    </font>
    <font>
      <b/>
      <color rgb="FFFFFFFF"/>
      <name val="Arial"/>
      <scheme val="minor"/>
    </font>
    <font>
      <b/>
      <color theme="1"/>
      <name val="Arial"/>
      <scheme val="minor"/>
    </font>
    <font>
      <color theme="7"/>
      <name val="Arial"/>
    </font>
    <font>
      <u/>
      <color rgb="FF0000FF"/>
      <name val="Arial"/>
    </font>
    <font>
      <u/>
      <color rgb="FF0000FF"/>
    </font>
    <font>
      <sz val="8.0"/>
      <color theme="1"/>
      <name val="Arial"/>
    </font>
    <font>
      <color rgb="FFFF0000"/>
      <name val="Arial"/>
      <scheme val="minor"/>
    </font>
    <font>
      <b/>
      <color theme="1"/>
      <name val="Arial"/>
    </font>
    <font>
      <b/>
      <sz val="8.0"/>
      <color theme="1"/>
      <name val="Arial"/>
    </font>
    <font>
      <b/>
      <color rgb="FFFF9900"/>
      <name val="Arial"/>
    </font>
    <font>
      <u/>
      <color rgb="FF0000FF"/>
    </font>
    <font>
      <u/>
      <color rgb="FF0000FF"/>
    </font>
    <font>
      <color rgb="FF34A853"/>
      <name val="Arial"/>
    </font>
    <font>
      <u/>
      <color rgb="FF0000FF"/>
      <name val="Arial"/>
    </font>
  </fonts>
  <fills count="22">
    <fill>
      <patternFill patternType="none"/>
    </fill>
    <fill>
      <patternFill patternType="lightGray"/>
    </fill>
    <fill>
      <patternFill patternType="solid">
        <fgColor rgb="FF000000"/>
        <bgColor rgb="FF000000"/>
      </patternFill>
    </fill>
    <fill>
      <patternFill patternType="solid">
        <fgColor rgb="FF999999"/>
        <bgColor rgb="FF999999"/>
      </patternFill>
    </fill>
    <fill>
      <patternFill patternType="solid">
        <fgColor rgb="FFFFFF00"/>
        <bgColor rgb="FFFFFF00"/>
      </patternFill>
    </fill>
    <fill>
      <patternFill patternType="solid">
        <fgColor rgb="FF434343"/>
        <bgColor rgb="FF434343"/>
      </patternFill>
    </fill>
    <fill>
      <patternFill patternType="solid">
        <fgColor rgb="FFFFF2CC"/>
        <bgColor rgb="FFFFF2CC"/>
      </patternFill>
    </fill>
    <fill>
      <patternFill patternType="solid">
        <fgColor rgb="FFD9D9D9"/>
        <bgColor rgb="FFD9D9D9"/>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FF9900"/>
        <bgColor rgb="FFFF9900"/>
      </patternFill>
    </fill>
    <fill>
      <patternFill patternType="solid">
        <fgColor rgb="FFFF00FF"/>
        <bgColor rgb="FFFF00FF"/>
      </patternFill>
    </fill>
    <fill>
      <patternFill patternType="solid">
        <fgColor rgb="FF666666"/>
        <bgColor rgb="FF666666"/>
      </patternFill>
    </fill>
    <fill>
      <patternFill patternType="solid">
        <fgColor rgb="FFB7B7B7"/>
        <bgColor rgb="FFB7B7B7"/>
      </patternFill>
    </fill>
    <fill>
      <patternFill patternType="solid">
        <fgColor rgb="FFFFD966"/>
        <bgColor rgb="FFFFD966"/>
      </patternFill>
    </fill>
    <fill>
      <patternFill patternType="solid">
        <fgColor rgb="FFEFEFEF"/>
        <bgColor rgb="FFEFEFEF"/>
      </patternFill>
    </fill>
    <fill>
      <patternFill patternType="solid">
        <fgColor rgb="FFF3F3F3"/>
        <bgColor rgb="FFF3F3F3"/>
      </patternFill>
    </fill>
    <fill>
      <patternFill patternType="solid">
        <fgColor rgb="FFD9D2E9"/>
        <bgColor rgb="FFD9D2E9"/>
      </patternFill>
    </fill>
    <fill>
      <patternFill patternType="solid">
        <fgColor rgb="FFB4A7D6"/>
        <bgColor rgb="FFB4A7D6"/>
      </patternFill>
    </fill>
    <fill>
      <patternFill patternType="solid">
        <fgColor rgb="FF6FA8DC"/>
        <bgColor rgb="FF6FA8DC"/>
      </patternFill>
    </fill>
  </fills>
  <borders count="30">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bottom style="thin">
        <color rgb="FF000000"/>
      </bottom>
    </border>
    <border>
      <left style="thin">
        <color rgb="FF000000"/>
      </left>
      <right style="thin">
        <color rgb="FF000000"/>
      </right>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ck">
        <color rgb="FF000000"/>
      </right>
    </border>
    <border>
      <right style="thick">
        <color rgb="FF000000"/>
      </right>
      <top style="thin">
        <color rgb="FF000000"/>
      </top>
      <bottom style="thin">
        <color rgb="FF000000"/>
      </bottom>
    </border>
    <border>
      <right style="thick">
        <color rgb="FF000000"/>
      </right>
      <bottom style="thin">
        <color rgb="FF000000"/>
      </bottom>
    </border>
    <border>
      <top style="thin">
        <color rgb="FF000000"/>
      </top>
    </border>
    <border>
      <right style="thick">
        <color rgb="FF000000"/>
      </right>
      <top style="thin">
        <color rgb="FF000000"/>
      </top>
    </border>
    <border>
      <left style="thick">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ttom style="thick">
        <color rgb="FF000000"/>
      </bottom>
    </border>
    <border>
      <top style="thick">
        <color rgb="FF000000"/>
      </top>
    </border>
    <border>
      <right style="thick">
        <color rgb="FF000000"/>
      </right>
      <top style="thick">
        <color rgb="FF000000"/>
      </top>
      <bottom style="thin">
        <color rgb="FF000000"/>
      </bottom>
    </border>
  </borders>
  <cellStyleXfs count="1">
    <xf borderId="0" fillId="0" fontId="0" numFmtId="0" applyAlignment="1" applyFont="1"/>
  </cellStyleXfs>
  <cellXfs count="43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center" vertical="bottom"/>
    </xf>
    <xf borderId="0" fillId="2" fontId="3" numFmtId="0" xfId="0" applyAlignment="1" applyFill="1" applyFont="1">
      <alignment readingOrder="0" vertical="bottom"/>
    </xf>
    <xf borderId="0" fillId="2" fontId="1" numFmtId="0" xfId="0" applyAlignment="1" applyFont="1">
      <alignment vertical="bottom"/>
    </xf>
    <xf borderId="0" fillId="0" fontId="4" numFmtId="0" xfId="0" applyAlignment="1" applyFont="1">
      <alignment readingOrder="0"/>
    </xf>
    <xf borderId="0" fillId="0" fontId="1" numFmtId="0" xfId="0" applyAlignment="1" applyFont="1">
      <alignment readingOrder="0" vertical="bottom"/>
    </xf>
    <xf borderId="0" fillId="2" fontId="3" numFmtId="0" xfId="0" applyAlignment="1" applyFont="1">
      <alignment vertical="bottom"/>
    </xf>
    <xf borderId="0" fillId="0" fontId="5" numFmtId="0" xfId="0" applyAlignment="1" applyFont="1">
      <alignment readingOrder="0"/>
    </xf>
    <xf borderId="0" fillId="0" fontId="6" numFmtId="0" xfId="0" applyAlignment="1" applyFont="1">
      <alignment readingOrder="0"/>
    </xf>
    <xf borderId="1" fillId="0" fontId="1" numFmtId="0" xfId="0" applyAlignment="1" applyBorder="1" applyFont="1">
      <alignment horizontal="center"/>
    </xf>
    <xf borderId="1" fillId="0" fontId="7" numFmtId="0" xfId="0" applyAlignment="1" applyBorder="1" applyFont="1">
      <alignment horizontal="center" vertical="bottom"/>
    </xf>
    <xf borderId="1" fillId="0" fontId="1" numFmtId="0" xfId="0" applyBorder="1" applyFont="1"/>
    <xf borderId="2" fillId="0" fontId="8" numFmtId="0" xfId="0" applyAlignment="1" applyBorder="1" applyFont="1">
      <alignment horizontal="center" readingOrder="0" vertical="center"/>
    </xf>
    <xf borderId="0" fillId="2" fontId="9" numFmtId="0" xfId="0" applyAlignment="1" applyFont="1">
      <alignment readingOrder="0" vertical="bottom"/>
    </xf>
    <xf borderId="0" fillId="3" fontId="10" numFmtId="0" xfId="0" applyAlignment="1" applyFill="1" applyFont="1">
      <alignment vertical="bottom"/>
    </xf>
    <xf borderId="0" fillId="3" fontId="1" numFmtId="0" xfId="0" applyAlignment="1" applyFont="1">
      <alignment vertical="bottom"/>
    </xf>
    <xf borderId="3" fillId="3" fontId="7" numFmtId="0" xfId="0" applyAlignment="1" applyBorder="1" applyFont="1">
      <alignment vertical="bottom"/>
    </xf>
    <xf borderId="3" fillId="3" fontId="1" numFmtId="0" xfId="0" applyAlignment="1" applyBorder="1" applyFont="1">
      <alignment vertical="bottom"/>
    </xf>
    <xf borderId="1" fillId="3" fontId="11" numFmtId="0" xfId="0" applyAlignment="1" applyBorder="1" applyFont="1">
      <alignment vertical="bottom"/>
    </xf>
    <xf borderId="1" fillId="3" fontId="7" numFmtId="0" xfId="0" applyAlignment="1" applyBorder="1" applyFont="1">
      <alignment horizontal="right" vertical="bottom"/>
    </xf>
    <xf borderId="0" fillId="3" fontId="1" numFmtId="164" xfId="0" applyAlignment="1" applyFont="1" applyNumberFormat="1">
      <alignment vertical="bottom"/>
    </xf>
    <xf borderId="1" fillId="3" fontId="7" numFmtId="165" xfId="0" applyAlignment="1" applyBorder="1" applyFont="1" applyNumberFormat="1">
      <alignment horizontal="right" vertical="bottom"/>
    </xf>
    <xf borderId="1" fillId="3" fontId="7" numFmtId="0" xfId="0" applyAlignment="1" applyBorder="1" applyFont="1">
      <alignment horizontal="center" vertical="bottom"/>
    </xf>
    <xf borderId="4" fillId="3" fontId="1" numFmtId="0" xfId="0" applyAlignment="1" applyBorder="1" applyFont="1">
      <alignment vertical="bottom"/>
    </xf>
    <xf borderId="5" fillId="3" fontId="7" numFmtId="0" xfId="0" applyAlignment="1" applyBorder="1" applyFont="1">
      <alignment horizontal="center" vertical="bottom"/>
    </xf>
    <xf borderId="6" fillId="3" fontId="7" numFmtId="0" xfId="0" applyAlignment="1" applyBorder="1" applyFont="1">
      <alignment horizontal="center" vertical="bottom"/>
    </xf>
    <xf borderId="7" fillId="0" fontId="12" numFmtId="0" xfId="0" applyBorder="1" applyFont="1"/>
    <xf borderId="8" fillId="3" fontId="7" numFmtId="0" xfId="0" applyAlignment="1" applyBorder="1" applyFont="1">
      <alignment horizontal="center" vertical="bottom"/>
    </xf>
    <xf borderId="8" fillId="3" fontId="1" numFmtId="0" xfId="0" applyAlignment="1" applyBorder="1" applyFont="1">
      <alignment vertical="bottom"/>
    </xf>
    <xf borderId="9" fillId="3" fontId="1" numFmtId="0" xfId="0" applyAlignment="1" applyBorder="1" applyFont="1">
      <alignment vertical="bottom"/>
    </xf>
    <xf borderId="10" fillId="3" fontId="7" numFmtId="0" xfId="0" applyAlignment="1" applyBorder="1" applyFont="1">
      <alignment horizontal="center" vertical="bottom"/>
    </xf>
    <xf borderId="11" fillId="3" fontId="7" numFmtId="0" xfId="0" applyAlignment="1" applyBorder="1" applyFont="1">
      <alignment horizontal="center" vertical="bottom"/>
    </xf>
    <xf borderId="10" fillId="3" fontId="7" numFmtId="0" xfId="0" applyAlignment="1" applyBorder="1" applyFont="1">
      <alignment horizontal="right" vertical="bottom"/>
    </xf>
    <xf borderId="11" fillId="3" fontId="7" numFmtId="164" xfId="0" applyAlignment="1" applyBorder="1" applyFont="1" applyNumberFormat="1">
      <alignment horizontal="right" vertical="bottom"/>
    </xf>
    <xf borderId="11" fillId="3" fontId="7" numFmtId="166" xfId="0" applyAlignment="1" applyBorder="1" applyFont="1" applyNumberFormat="1">
      <alignment horizontal="right" vertical="bottom"/>
    </xf>
    <xf borderId="11" fillId="3" fontId="1" numFmtId="0" xfId="0" applyAlignment="1" applyBorder="1" applyFont="1">
      <alignment vertical="bottom"/>
    </xf>
    <xf borderId="11" fillId="3" fontId="1" numFmtId="167" xfId="0" applyAlignment="1" applyBorder="1" applyFont="1" applyNumberFormat="1">
      <alignment vertical="bottom"/>
    </xf>
    <xf borderId="10" fillId="3" fontId="1" numFmtId="0" xfId="0" applyAlignment="1" applyBorder="1" applyFont="1">
      <alignment vertical="bottom"/>
    </xf>
    <xf borderId="11" fillId="3" fontId="7" numFmtId="167" xfId="0" applyAlignment="1" applyBorder="1" applyFont="1" applyNumberFormat="1">
      <alignment horizontal="right" vertical="bottom"/>
    </xf>
    <xf borderId="11" fillId="3" fontId="7" numFmtId="10" xfId="0" applyAlignment="1" applyBorder="1" applyFont="1" applyNumberFormat="1">
      <alignment horizontal="right" vertical="bottom"/>
    </xf>
    <xf borderId="10" fillId="3" fontId="7" numFmtId="0" xfId="0" applyAlignment="1" applyBorder="1" applyFont="1">
      <alignment vertical="bottom"/>
    </xf>
    <xf borderId="11" fillId="3" fontId="13" numFmtId="167" xfId="0" applyAlignment="1" applyBorder="1" applyFont="1" applyNumberFormat="1">
      <alignment horizontal="right" vertical="bottom"/>
    </xf>
    <xf borderId="0" fillId="4" fontId="10" numFmtId="0" xfId="0" applyAlignment="1" applyFill="1" applyFont="1">
      <alignment vertical="bottom"/>
    </xf>
    <xf borderId="0" fillId="2" fontId="9" numFmtId="0" xfId="0" applyAlignment="1" applyFont="1">
      <alignment vertical="bottom"/>
    </xf>
    <xf borderId="1" fillId="5" fontId="11" numFmtId="0" xfId="0" applyAlignment="1" applyBorder="1" applyFill="1" applyFont="1">
      <alignment vertical="bottom"/>
    </xf>
    <xf borderId="1" fillId="6" fontId="7" numFmtId="0" xfId="0" applyAlignment="1" applyBorder="1" applyFill="1" applyFont="1">
      <alignment horizontal="right" readingOrder="0" vertical="bottom"/>
    </xf>
    <xf borderId="0" fillId="0" fontId="1" numFmtId="164" xfId="0" applyAlignment="1" applyFont="1" applyNumberFormat="1">
      <alignment vertical="bottom"/>
    </xf>
    <xf borderId="1" fillId="6" fontId="7" numFmtId="165" xfId="0" applyAlignment="1" applyBorder="1" applyFont="1" applyNumberFormat="1">
      <alignment horizontal="right" vertical="bottom"/>
    </xf>
    <xf borderId="1" fillId="6" fontId="7" numFmtId="0" xfId="0" applyAlignment="1" applyBorder="1" applyFont="1">
      <alignment horizontal="center" vertical="bottom"/>
    </xf>
    <xf borderId="1" fillId="6" fontId="7" numFmtId="165" xfId="0" applyAlignment="1" applyBorder="1" applyFont="1" applyNumberFormat="1">
      <alignment horizontal="right" readingOrder="0" vertical="bottom"/>
    </xf>
    <xf borderId="9" fillId="7" fontId="1" numFmtId="0" xfId="0" applyAlignment="1" applyBorder="1" applyFill="1" applyFont="1">
      <alignment vertical="bottom"/>
    </xf>
    <xf borderId="8" fillId="7" fontId="7" numFmtId="0" xfId="0" applyAlignment="1" applyBorder="1" applyFont="1">
      <alignment horizontal="center" vertical="bottom"/>
    </xf>
    <xf borderId="6" fillId="7" fontId="7" numFmtId="0" xfId="0" applyAlignment="1" applyBorder="1" applyFont="1">
      <alignment horizontal="center" vertical="bottom"/>
    </xf>
    <xf borderId="8" fillId="7" fontId="1" numFmtId="0" xfId="0" applyAlignment="1" applyBorder="1" applyFont="1">
      <alignment vertical="bottom"/>
    </xf>
    <xf borderId="10" fillId="7" fontId="7" numFmtId="0" xfId="0" applyAlignment="1" applyBorder="1" applyFont="1">
      <alignment horizontal="center" vertical="bottom"/>
    </xf>
    <xf borderId="11" fillId="7" fontId="7" numFmtId="0" xfId="0" applyAlignment="1" applyBorder="1" applyFont="1">
      <alignment horizontal="center" vertical="bottom"/>
    </xf>
    <xf borderId="1" fillId="0" fontId="7" numFmtId="3" xfId="0" applyAlignment="1" applyBorder="1" applyFont="1" applyNumberFormat="1">
      <alignment horizontal="right" readingOrder="0" vertical="bottom"/>
    </xf>
    <xf borderId="1" fillId="0" fontId="7" numFmtId="164" xfId="0" applyAlignment="1" applyBorder="1" applyFont="1" applyNumberFormat="1">
      <alignment horizontal="right" vertical="bottom"/>
    </xf>
    <xf borderId="11" fillId="0" fontId="7" numFmtId="166" xfId="0" applyAlignment="1" applyBorder="1" applyFont="1" applyNumberFormat="1">
      <alignment horizontal="right" vertical="bottom"/>
    </xf>
    <xf borderId="11" fillId="8" fontId="7" numFmtId="166" xfId="0" applyAlignment="1" applyBorder="1" applyFill="1" applyFont="1" applyNumberFormat="1">
      <alignment horizontal="right" vertical="bottom"/>
    </xf>
    <xf borderId="11" fillId="0" fontId="13" numFmtId="167" xfId="0" applyAlignment="1" applyBorder="1" applyFont="1" applyNumberFormat="1">
      <alignment horizontal="right" vertical="bottom"/>
    </xf>
    <xf borderId="11" fillId="0" fontId="7" numFmtId="10" xfId="0" applyAlignment="1" applyBorder="1" applyFont="1" applyNumberFormat="1">
      <alignment horizontal="right" vertical="bottom"/>
    </xf>
    <xf borderId="10" fillId="0" fontId="7" numFmtId="0" xfId="0" applyAlignment="1" applyBorder="1" applyFont="1">
      <alignment horizontal="right" readingOrder="0" vertical="bottom"/>
    </xf>
    <xf borderId="1" fillId="0" fontId="7" numFmtId="168" xfId="0" applyAlignment="1" applyBorder="1" applyFont="1" applyNumberFormat="1">
      <alignment horizontal="right" vertical="bottom"/>
    </xf>
    <xf borderId="1" fillId="0" fontId="7" numFmtId="168" xfId="0" applyAlignment="1" applyBorder="1" applyFont="1" applyNumberFormat="1">
      <alignment horizontal="right" readingOrder="0" vertical="bottom"/>
    </xf>
    <xf borderId="11" fillId="9" fontId="7" numFmtId="166" xfId="0" applyAlignment="1" applyBorder="1" applyFill="1" applyFont="1" applyNumberFormat="1">
      <alignment horizontal="right" vertical="bottom"/>
    </xf>
    <xf borderId="0" fillId="0" fontId="1" numFmtId="0" xfId="0" applyAlignment="1" applyFont="1">
      <alignment vertical="bottom"/>
    </xf>
    <xf borderId="0" fillId="0" fontId="7" numFmtId="0" xfId="0" applyAlignment="1" applyFont="1">
      <alignment vertical="bottom"/>
    </xf>
    <xf borderId="0" fillId="2" fontId="9" numFmtId="0" xfId="0" applyAlignment="1" applyFont="1">
      <alignment vertical="bottom"/>
    </xf>
    <xf borderId="0" fillId="4" fontId="14" numFmtId="0" xfId="0" applyAlignment="1" applyFont="1">
      <alignment vertical="bottom"/>
    </xf>
    <xf borderId="1" fillId="5" fontId="11" numFmtId="0" xfId="0" applyAlignment="1" applyBorder="1" applyFont="1">
      <alignment vertical="bottom"/>
    </xf>
    <xf borderId="1" fillId="10" fontId="1" numFmtId="3" xfId="0" applyAlignment="1" applyBorder="1" applyFill="1" applyFont="1" applyNumberFormat="1">
      <alignment readingOrder="0" vertical="bottom"/>
    </xf>
    <xf borderId="1" fillId="5" fontId="11" numFmtId="0" xfId="0" applyAlignment="1" applyBorder="1" applyFont="1">
      <alignment readingOrder="0" vertical="bottom"/>
    </xf>
    <xf borderId="1" fillId="10" fontId="1" numFmtId="168" xfId="0" applyAlignment="1" applyBorder="1" applyFont="1" applyNumberFormat="1">
      <alignment readingOrder="0" vertical="bottom"/>
    </xf>
    <xf borderId="1" fillId="10" fontId="10" numFmtId="168" xfId="0" applyAlignment="1" applyBorder="1" applyFont="1" applyNumberFormat="1">
      <alignment horizontal="right" vertical="bottom"/>
    </xf>
    <xf borderId="1" fillId="4" fontId="10" numFmtId="168" xfId="0" applyAlignment="1" applyBorder="1" applyFont="1" applyNumberFormat="1">
      <alignment horizontal="right" vertical="bottom"/>
    </xf>
    <xf borderId="1" fillId="10" fontId="10" numFmtId="10" xfId="0" applyAlignment="1" applyBorder="1" applyFont="1" applyNumberFormat="1">
      <alignment horizontal="right" vertical="bottom"/>
    </xf>
    <xf borderId="1" fillId="6" fontId="7" numFmtId="0" xfId="0" applyAlignment="1" applyBorder="1" applyFont="1">
      <alignment horizontal="right" vertical="bottom"/>
    </xf>
    <xf borderId="0" fillId="0" fontId="1" numFmtId="169" xfId="0" applyAlignment="1" applyFont="1" applyNumberFormat="1">
      <alignment vertical="bottom"/>
    </xf>
    <xf borderId="1" fillId="5" fontId="11" numFmtId="164" xfId="0" applyAlignment="1" applyBorder="1" applyFont="1" applyNumberFormat="1">
      <alignment vertical="bottom"/>
    </xf>
    <xf borderId="1" fillId="0" fontId="7" numFmtId="0" xfId="0" applyAlignment="1" applyBorder="1" applyFont="1">
      <alignment vertical="bottom"/>
    </xf>
    <xf borderId="1" fillId="11" fontId="7" numFmtId="0" xfId="0" applyAlignment="1" applyBorder="1" applyFill="1" applyFont="1">
      <alignment horizontal="right" vertical="bottom"/>
    </xf>
    <xf borderId="1" fillId="0" fontId="7" numFmtId="0" xfId="0" applyAlignment="1" applyBorder="1" applyFont="1">
      <alignment horizontal="right" vertical="bottom"/>
    </xf>
    <xf borderId="1" fillId="4" fontId="7" numFmtId="0" xfId="0" applyAlignment="1" applyBorder="1" applyFont="1">
      <alignment horizontal="right" vertical="bottom"/>
    </xf>
    <xf borderId="1" fillId="0" fontId="7" numFmtId="170" xfId="0" applyAlignment="1" applyBorder="1" applyFont="1" applyNumberFormat="1">
      <alignment horizontal="right" vertical="bottom"/>
    </xf>
    <xf borderId="1" fillId="10" fontId="7" numFmtId="164" xfId="0" applyAlignment="1" applyBorder="1" applyFont="1" applyNumberFormat="1">
      <alignment horizontal="right" vertical="bottom"/>
    </xf>
    <xf borderId="1" fillId="3" fontId="7" numFmtId="166" xfId="0" applyAlignment="1" applyBorder="1" applyFont="1" applyNumberFormat="1">
      <alignment horizontal="right" vertical="bottom"/>
    </xf>
    <xf borderId="12" fillId="0" fontId="7" numFmtId="0" xfId="0" applyAlignment="1" applyBorder="1" applyFont="1">
      <alignment vertical="bottom"/>
    </xf>
    <xf borderId="11" fillId="4" fontId="7" numFmtId="164" xfId="0" applyAlignment="1" applyBorder="1" applyFont="1" applyNumberFormat="1">
      <alignment horizontal="right" vertical="bottom"/>
    </xf>
    <xf borderId="1" fillId="3" fontId="7" numFmtId="166" xfId="0" applyAlignment="1" applyBorder="1" applyFont="1" applyNumberFormat="1">
      <alignment vertical="bottom"/>
    </xf>
    <xf borderId="1" fillId="0" fontId="7" numFmtId="10" xfId="0" applyAlignment="1" applyBorder="1" applyFont="1" applyNumberFormat="1">
      <alignment horizontal="right" vertical="bottom"/>
    </xf>
    <xf borderId="1" fillId="3" fontId="7" numFmtId="10" xfId="0" applyAlignment="1" applyBorder="1" applyFont="1" applyNumberFormat="1">
      <alignment horizontal="right" vertical="bottom"/>
    </xf>
    <xf borderId="0" fillId="0" fontId="1" numFmtId="166" xfId="0" applyAlignment="1" applyFont="1" applyNumberFormat="1">
      <alignment vertical="bottom"/>
    </xf>
    <xf borderId="0" fillId="2" fontId="1" numFmtId="164" xfId="0" applyAlignment="1" applyFont="1" applyNumberFormat="1">
      <alignment vertical="bottom"/>
    </xf>
    <xf borderId="0" fillId="2" fontId="1" numFmtId="166" xfId="0" applyAlignment="1" applyFont="1" applyNumberFormat="1">
      <alignment vertical="bottom"/>
    </xf>
    <xf borderId="1" fillId="6" fontId="7" numFmtId="0" xfId="0" applyAlignment="1" applyBorder="1" applyFont="1">
      <alignment horizontal="right" vertical="bottom"/>
    </xf>
    <xf borderId="0" fillId="0" fontId="7" numFmtId="164" xfId="0" applyAlignment="1" applyFont="1" applyNumberFormat="1">
      <alignment vertical="bottom"/>
    </xf>
    <xf borderId="1" fillId="5" fontId="11" numFmtId="166" xfId="0" applyAlignment="1" applyBorder="1" applyFont="1" applyNumberFormat="1">
      <alignment vertical="bottom"/>
    </xf>
    <xf borderId="1" fillId="0" fontId="7" numFmtId="0" xfId="0" applyAlignment="1" applyBorder="1" applyFont="1">
      <alignment vertical="bottom"/>
    </xf>
    <xf borderId="1" fillId="10" fontId="7" numFmtId="166" xfId="0" applyAlignment="1" applyBorder="1" applyFont="1" applyNumberFormat="1">
      <alignment horizontal="right" vertical="bottom"/>
    </xf>
    <xf borderId="1" fillId="12" fontId="7" numFmtId="10" xfId="0" applyAlignment="1" applyBorder="1" applyFill="1" applyFont="1" applyNumberFormat="1">
      <alignment horizontal="right" vertical="bottom"/>
    </xf>
    <xf borderId="0" fillId="2" fontId="1" numFmtId="10" xfId="0" applyAlignment="1" applyFont="1" applyNumberFormat="1">
      <alignment vertical="bottom"/>
    </xf>
    <xf borderId="0" fillId="4" fontId="14" numFmtId="0" xfId="0" applyAlignment="1" applyFont="1">
      <alignment vertical="bottom"/>
    </xf>
    <xf borderId="0" fillId="0" fontId="15" numFmtId="0" xfId="0" applyAlignment="1" applyFont="1">
      <alignment vertical="bottom"/>
    </xf>
    <xf borderId="1" fillId="4" fontId="10" numFmtId="168" xfId="0" applyAlignment="1" applyBorder="1" applyFont="1" applyNumberFormat="1">
      <alignment horizontal="right" readingOrder="0" vertical="bottom"/>
    </xf>
    <xf borderId="1" fillId="6" fontId="7" numFmtId="3" xfId="0" applyAlignment="1" applyBorder="1" applyFont="1" applyNumberFormat="1">
      <alignment horizontal="right" readingOrder="0" vertical="bottom"/>
    </xf>
    <xf borderId="1" fillId="0" fontId="7" numFmtId="0" xfId="0" applyAlignment="1" applyBorder="1" applyFont="1">
      <alignment readingOrder="0" vertical="bottom"/>
    </xf>
    <xf borderId="1" fillId="11" fontId="7" numFmtId="171" xfId="0" applyAlignment="1" applyBorder="1" applyFont="1" applyNumberFormat="1">
      <alignment horizontal="right" vertical="bottom"/>
    </xf>
    <xf borderId="1" fillId="0" fontId="1" numFmtId="0" xfId="0" applyAlignment="1" applyBorder="1" applyFont="1">
      <alignment horizontal="right" readingOrder="0" vertical="bottom"/>
    </xf>
    <xf borderId="1" fillId="4" fontId="1" numFmtId="0" xfId="0" applyAlignment="1" applyBorder="1" applyFont="1">
      <alignment readingOrder="0" vertical="bottom"/>
    </xf>
    <xf borderId="1" fillId="0" fontId="1" numFmtId="170" xfId="0" applyAlignment="1" applyBorder="1" applyFont="1" applyNumberFormat="1">
      <alignment readingOrder="0" vertical="bottom"/>
    </xf>
    <xf borderId="1" fillId="11" fontId="7" numFmtId="169" xfId="0" applyAlignment="1" applyBorder="1" applyFont="1" applyNumberFormat="1">
      <alignment horizontal="right" vertical="bottom"/>
    </xf>
    <xf borderId="0" fillId="0" fontId="7" numFmtId="0" xfId="0" applyAlignment="1" applyFont="1">
      <alignment readingOrder="0" vertical="bottom"/>
    </xf>
    <xf borderId="11" fillId="4" fontId="7" numFmtId="164" xfId="0" applyAlignment="1" applyBorder="1" applyFont="1" applyNumberFormat="1">
      <alignment horizontal="right" readingOrder="0" vertical="bottom"/>
    </xf>
    <xf borderId="1" fillId="0" fontId="1" numFmtId="10" xfId="0" applyAlignment="1" applyBorder="1" applyFont="1" applyNumberFormat="1">
      <alignment vertical="bottom"/>
    </xf>
    <xf borderId="1" fillId="0" fontId="1" numFmtId="0" xfId="0" applyAlignment="1" applyBorder="1" applyFont="1">
      <alignment readingOrder="0" vertical="bottom"/>
    </xf>
    <xf borderId="1" fillId="6" fontId="7" numFmtId="3" xfId="0" applyAlignment="1" applyBorder="1" applyFont="1" applyNumberFormat="1">
      <alignment horizontal="right" vertical="bottom"/>
    </xf>
    <xf borderId="1" fillId="0" fontId="1" numFmtId="0" xfId="0" applyAlignment="1" applyBorder="1" applyFont="1">
      <alignment vertical="bottom"/>
    </xf>
    <xf borderId="1" fillId="0" fontId="1" numFmtId="168" xfId="0" applyAlignment="1" applyBorder="1" applyFont="1" applyNumberFormat="1">
      <alignment vertical="bottom"/>
    </xf>
    <xf borderId="1" fillId="0" fontId="1" numFmtId="164" xfId="0" applyAlignment="1" applyBorder="1" applyFont="1" applyNumberFormat="1">
      <alignment vertical="bottom"/>
    </xf>
    <xf borderId="1" fillId="0" fontId="7" numFmtId="0" xfId="0" applyAlignment="1" applyBorder="1" applyFont="1">
      <alignment vertical="bottom"/>
    </xf>
    <xf borderId="1" fillId="11" fontId="7" numFmtId="165" xfId="0" applyAlignment="1" applyBorder="1" applyFont="1" applyNumberFormat="1">
      <alignment horizontal="right" vertical="bottom"/>
    </xf>
    <xf borderId="1" fillId="4" fontId="7" numFmtId="0" xfId="0" applyAlignment="1" applyBorder="1" applyFont="1">
      <alignment vertical="bottom"/>
    </xf>
    <xf borderId="1" fillId="4" fontId="7" numFmtId="166" xfId="0" applyAlignment="1" applyBorder="1" applyFont="1" applyNumberFormat="1">
      <alignment horizontal="right" vertical="bottom"/>
    </xf>
    <xf borderId="1" fillId="4" fontId="7" numFmtId="164" xfId="0" applyAlignment="1" applyBorder="1" applyFont="1" applyNumberFormat="1">
      <alignment horizontal="right" vertical="bottom"/>
    </xf>
    <xf borderId="11" fillId="0" fontId="7" numFmtId="164" xfId="0" applyAlignment="1" applyBorder="1" applyFont="1" applyNumberFormat="1">
      <alignment horizontal="right" vertical="bottom"/>
    </xf>
    <xf borderId="1" fillId="13" fontId="11" numFmtId="166" xfId="0" applyAlignment="1" applyBorder="1" applyFill="1" applyFont="1" applyNumberFormat="1">
      <alignment vertical="bottom"/>
    </xf>
    <xf borderId="1" fillId="13" fontId="11" numFmtId="10" xfId="0" applyAlignment="1" applyBorder="1" applyFont="1" applyNumberFormat="1">
      <alignment horizontal="right" vertical="bottom"/>
    </xf>
    <xf borderId="0" fillId="0" fontId="1" numFmtId="10" xfId="0" applyAlignment="1" applyFont="1" applyNumberFormat="1">
      <alignment vertical="bottom"/>
    </xf>
    <xf borderId="1" fillId="0" fontId="1" numFmtId="168" xfId="0" applyAlignment="1" applyBorder="1" applyFont="1" applyNumberFormat="1">
      <alignment readingOrder="0" vertical="bottom"/>
    </xf>
    <xf borderId="0" fillId="0" fontId="1" numFmtId="168" xfId="0" applyAlignment="1" applyFont="1" applyNumberFormat="1">
      <alignment vertical="bottom"/>
    </xf>
    <xf borderId="1" fillId="6" fontId="7" numFmtId="164" xfId="0" applyAlignment="1" applyBorder="1" applyFont="1" applyNumberFormat="1">
      <alignment horizontal="center" vertical="bottom"/>
    </xf>
    <xf borderId="1" fillId="0" fontId="7" numFmtId="0" xfId="0" applyAlignment="1" applyBorder="1" applyFont="1">
      <alignment horizontal="right" readingOrder="0" vertical="bottom"/>
    </xf>
    <xf borderId="1" fillId="10" fontId="7" numFmtId="170" xfId="0" applyAlignment="1" applyBorder="1" applyFont="1" applyNumberFormat="1">
      <alignment horizontal="right" vertical="bottom"/>
    </xf>
    <xf borderId="1" fillId="0" fontId="7" numFmtId="166" xfId="0" applyAlignment="1" applyBorder="1" applyFont="1" applyNumberFormat="1">
      <alignment horizontal="right" vertical="bottom"/>
    </xf>
    <xf borderId="1" fillId="10" fontId="10" numFmtId="164" xfId="0" applyAlignment="1" applyBorder="1" applyFont="1" applyNumberFormat="1">
      <alignment horizontal="right" vertical="bottom"/>
    </xf>
    <xf borderId="1" fillId="10" fontId="7" numFmtId="168" xfId="0" applyAlignment="1" applyBorder="1" applyFont="1" applyNumberFormat="1">
      <alignment readingOrder="0" vertical="bottom"/>
    </xf>
    <xf borderId="1" fillId="10" fontId="10" numFmtId="168" xfId="0" applyAlignment="1" applyBorder="1" applyFont="1" applyNumberFormat="1">
      <alignment horizontal="right" readingOrder="0" vertical="bottom"/>
    </xf>
    <xf borderId="1" fillId="6" fontId="7" numFmtId="172" xfId="0" applyAlignment="1" applyBorder="1" applyFont="1" applyNumberFormat="1">
      <alignment horizontal="right" readingOrder="0" vertical="bottom"/>
    </xf>
    <xf borderId="0" fillId="0" fontId="13" numFmtId="0" xfId="0" applyAlignment="1" applyFont="1">
      <alignment vertical="bottom"/>
    </xf>
    <xf borderId="1" fillId="13" fontId="11" numFmtId="173" xfId="0" applyAlignment="1" applyBorder="1" applyFont="1" applyNumberFormat="1">
      <alignment horizontal="right" vertical="bottom"/>
    </xf>
    <xf borderId="1" fillId="9" fontId="7" numFmtId="0" xfId="0" applyAlignment="1" applyBorder="1" applyFont="1">
      <alignment horizontal="right" vertical="bottom"/>
    </xf>
    <xf borderId="1" fillId="11" fontId="7" numFmtId="0" xfId="0" applyAlignment="1" applyBorder="1" applyFont="1">
      <alignment horizontal="right" readingOrder="0" vertical="bottom"/>
    </xf>
    <xf borderId="1" fillId="3" fontId="7" numFmtId="0" xfId="0" applyAlignment="1" applyBorder="1" applyFont="1">
      <alignment vertical="bottom"/>
    </xf>
    <xf borderId="0" fillId="0" fontId="14" numFmtId="0" xfId="0" applyAlignment="1" applyFont="1">
      <alignment readingOrder="0" vertical="bottom"/>
    </xf>
    <xf borderId="1" fillId="4" fontId="16" numFmtId="168" xfId="0" applyAlignment="1" applyBorder="1" applyFont="1" applyNumberFormat="1">
      <alignment horizontal="right" vertical="bottom"/>
    </xf>
    <xf borderId="0" fillId="0" fontId="1" numFmtId="165" xfId="0" applyAlignment="1" applyFont="1" applyNumberFormat="1">
      <alignment vertical="bottom"/>
    </xf>
    <xf borderId="1" fillId="5" fontId="11" numFmtId="169" xfId="0" applyAlignment="1" applyBorder="1" applyFont="1" applyNumberFormat="1">
      <alignment vertical="bottom"/>
    </xf>
    <xf borderId="0" fillId="0" fontId="17" numFmtId="0" xfId="0" applyAlignment="1" applyFont="1">
      <alignment readingOrder="0"/>
    </xf>
    <xf borderId="0" fillId="0" fontId="18" numFmtId="0" xfId="0" applyAlignment="1" applyFont="1">
      <alignment horizontal="right" readingOrder="0" vertical="center"/>
    </xf>
    <xf borderId="0" fillId="0" fontId="18" numFmtId="0" xfId="0" applyAlignment="1" applyFont="1">
      <alignment vertical="center"/>
    </xf>
    <xf borderId="1" fillId="0" fontId="19" numFmtId="0" xfId="0" applyAlignment="1" applyBorder="1" applyFont="1">
      <alignment horizontal="center" readingOrder="0" vertical="center"/>
    </xf>
    <xf borderId="2" fillId="0" fontId="19" numFmtId="0" xfId="0" applyAlignment="1" applyBorder="1" applyFont="1">
      <alignment horizontal="center" readingOrder="0" vertical="center"/>
    </xf>
    <xf borderId="0" fillId="0" fontId="19" numFmtId="0" xfId="0" applyAlignment="1" applyFont="1">
      <alignment horizontal="center" readingOrder="0" vertical="center"/>
    </xf>
    <xf borderId="3" fillId="0" fontId="18" numFmtId="0" xfId="0" applyAlignment="1" applyBorder="1" applyFont="1">
      <alignment readingOrder="0" vertical="center"/>
    </xf>
    <xf borderId="3" fillId="0" fontId="18" numFmtId="0" xfId="0" applyAlignment="1" applyBorder="1" applyFont="1">
      <alignment vertical="center"/>
    </xf>
    <xf borderId="1" fillId="0" fontId="20" numFmtId="0" xfId="0" applyAlignment="1" applyBorder="1" applyFont="1">
      <alignment horizontal="center" readingOrder="0"/>
    </xf>
    <xf borderId="1" fillId="0" fontId="18" numFmtId="0" xfId="0" applyAlignment="1" applyBorder="1" applyFont="1">
      <alignment horizontal="center" vertical="center"/>
    </xf>
    <xf borderId="0" fillId="0" fontId="8" numFmtId="0" xfId="0" applyAlignment="1" applyFont="1">
      <alignment horizontal="center" readingOrder="0" vertical="center"/>
    </xf>
    <xf borderId="5" fillId="14" fontId="21" numFmtId="0" xfId="0" applyAlignment="1" applyBorder="1" applyFill="1" applyFont="1">
      <alignment readingOrder="0"/>
    </xf>
    <xf borderId="0" fillId="14" fontId="22" numFmtId="0" xfId="0" applyFont="1"/>
    <xf borderId="13" fillId="14" fontId="22" numFmtId="0" xfId="0" applyBorder="1" applyFont="1"/>
    <xf borderId="0" fillId="0" fontId="22" numFmtId="0" xfId="0" applyAlignment="1" applyFont="1">
      <alignment readingOrder="0"/>
    </xf>
    <xf borderId="7" fillId="0" fontId="6" numFmtId="0" xfId="0" applyAlignment="1" applyBorder="1" applyFont="1">
      <alignment readingOrder="0"/>
    </xf>
    <xf borderId="6" fillId="0" fontId="6" numFmtId="0" xfId="0" applyAlignment="1" applyBorder="1" applyFont="1">
      <alignment readingOrder="0"/>
    </xf>
    <xf borderId="6" fillId="0" fontId="6" numFmtId="0" xfId="0" applyBorder="1" applyFont="1"/>
    <xf borderId="14" fillId="0" fontId="6" numFmtId="0" xfId="0" applyBorder="1" applyFont="1"/>
    <xf borderId="11" fillId="0" fontId="6" numFmtId="0" xfId="0" applyAlignment="1" applyBorder="1" applyFont="1">
      <alignment readingOrder="0"/>
    </xf>
    <xf borderId="6" fillId="4" fontId="6" numFmtId="0" xfId="0" applyAlignment="1" applyBorder="1" applyFont="1">
      <alignment readingOrder="0"/>
    </xf>
    <xf borderId="3" fillId="0" fontId="6" numFmtId="0" xfId="0" applyBorder="1" applyFont="1"/>
    <xf borderId="3" fillId="0" fontId="6" numFmtId="0" xfId="0" applyAlignment="1" applyBorder="1" applyFont="1">
      <alignment readingOrder="0"/>
    </xf>
    <xf borderId="15" fillId="0" fontId="6" numFmtId="0" xfId="0" applyBorder="1" applyFont="1"/>
    <xf borderId="6" fillId="0" fontId="6" numFmtId="172" xfId="0" applyAlignment="1" applyBorder="1" applyFont="1" applyNumberFormat="1">
      <alignment horizontal="right" readingOrder="0"/>
    </xf>
    <xf borderId="6" fillId="0" fontId="6" numFmtId="0" xfId="0" applyAlignment="1" applyBorder="1" applyFont="1">
      <alignment horizontal="center" readingOrder="0"/>
    </xf>
    <xf borderId="7" fillId="0" fontId="1" numFmtId="0" xfId="0" applyAlignment="1" applyBorder="1" applyFont="1">
      <alignment readingOrder="0" vertical="bottom"/>
    </xf>
    <xf borderId="6" fillId="0" fontId="23" numFmtId="0" xfId="0" applyAlignment="1" applyBorder="1" applyFont="1">
      <alignment readingOrder="0" vertical="bottom"/>
    </xf>
    <xf borderId="6" fillId="0" fontId="1" numFmtId="0" xfId="0" applyAlignment="1" applyBorder="1" applyFont="1">
      <alignment vertical="bottom"/>
    </xf>
    <xf borderId="14" fillId="0" fontId="1" numFmtId="0" xfId="0" applyAlignment="1" applyBorder="1" applyFont="1">
      <alignment vertical="bottom"/>
    </xf>
    <xf borderId="6" fillId="0" fontId="1" numFmtId="0" xfId="0" applyAlignment="1" applyBorder="1" applyFont="1">
      <alignment readingOrder="0" vertical="bottom"/>
    </xf>
    <xf borderId="7" fillId="0" fontId="1" numFmtId="0" xfId="0" applyAlignment="1" applyBorder="1" applyFont="1">
      <alignment vertical="center"/>
    </xf>
    <xf borderId="6" fillId="0" fontId="1" numFmtId="3" xfId="0" applyAlignment="1" applyBorder="1" applyFont="1" applyNumberFormat="1">
      <alignment horizontal="center" vertical="center"/>
    </xf>
    <xf borderId="6" fillId="0" fontId="1" numFmtId="0" xfId="0" applyAlignment="1" applyBorder="1" applyFont="1">
      <alignment vertical="center"/>
    </xf>
    <xf borderId="6" fillId="15" fontId="1" numFmtId="0" xfId="0" applyAlignment="1" applyBorder="1" applyFill="1" applyFont="1">
      <alignment horizontal="center" vertical="center"/>
    </xf>
    <xf borderId="6" fillId="0" fontId="1" numFmtId="0" xfId="0" applyAlignment="1" applyBorder="1" applyFont="1">
      <alignment vertical="center"/>
    </xf>
    <xf borderId="6" fillId="0" fontId="24" numFmtId="0" xfId="0" applyAlignment="1" applyBorder="1" applyFont="1">
      <alignment vertical="center"/>
    </xf>
    <xf borderId="14" fillId="0" fontId="1" numFmtId="0" xfId="0" applyAlignment="1" applyBorder="1" applyFont="1">
      <alignment vertical="center"/>
    </xf>
    <xf borderId="0" fillId="0" fontId="1" numFmtId="0" xfId="0" applyAlignment="1" applyFont="1">
      <alignment vertical="center"/>
    </xf>
    <xf borderId="7" fillId="0" fontId="1" numFmtId="0" xfId="0" applyAlignment="1" applyBorder="1" applyFont="1">
      <alignment readingOrder="0" shrinkToFit="0" vertical="center" wrapText="1"/>
    </xf>
    <xf borderId="6" fillId="0" fontId="6" numFmtId="0" xfId="0" applyAlignment="1" applyBorder="1" applyFont="1">
      <alignment horizontal="center" readingOrder="0" vertical="center"/>
    </xf>
    <xf borderId="6" fillId="0" fontId="1" numFmtId="0" xfId="0" applyAlignment="1" applyBorder="1" applyFont="1">
      <alignment readingOrder="0" vertical="center"/>
    </xf>
    <xf borderId="7" fillId="0" fontId="1" numFmtId="0" xfId="0" applyAlignment="1" applyBorder="1" applyFont="1">
      <alignment vertical="bottom"/>
    </xf>
    <xf borderId="6" fillId="0" fontId="1" numFmtId="0" xfId="0" applyAlignment="1" applyBorder="1" applyFont="1">
      <alignment horizontal="right" vertical="bottom"/>
    </xf>
    <xf borderId="6" fillId="0" fontId="1" numFmtId="0" xfId="0" applyAlignment="1" applyBorder="1" applyFont="1">
      <alignment vertical="bottom"/>
    </xf>
    <xf borderId="6" fillId="0" fontId="1" numFmtId="3" xfId="0" applyAlignment="1" applyBorder="1" applyFont="1" applyNumberFormat="1">
      <alignment horizontal="right" vertical="bottom"/>
    </xf>
    <xf borderId="0" fillId="0" fontId="6" numFmtId="0" xfId="0" applyFont="1"/>
    <xf borderId="8" fillId="0" fontId="6" numFmtId="0" xfId="0" applyAlignment="1" applyBorder="1" applyFont="1">
      <alignment readingOrder="0"/>
    </xf>
    <xf borderId="8" fillId="0" fontId="1" numFmtId="0" xfId="0" applyBorder="1" applyFont="1"/>
    <xf borderId="5" fillId="0" fontId="12" numFmtId="0" xfId="0" applyBorder="1" applyFont="1"/>
    <xf borderId="6" fillId="0" fontId="2" numFmtId="0" xfId="0" applyAlignment="1" applyBorder="1" applyFont="1">
      <alignment readingOrder="0" vertical="bottom"/>
    </xf>
    <xf borderId="5" fillId="0" fontId="6" numFmtId="0" xfId="0" applyBorder="1" applyFont="1"/>
    <xf borderId="0" fillId="14" fontId="3" numFmtId="0" xfId="0" applyAlignment="1" applyFont="1">
      <alignment vertical="bottom"/>
    </xf>
    <xf borderId="0" fillId="14" fontId="1" numFmtId="0" xfId="0" applyAlignment="1" applyFont="1">
      <alignment vertical="bottom"/>
    </xf>
    <xf borderId="0" fillId="14" fontId="1" numFmtId="0" xfId="0" applyAlignment="1" applyFont="1">
      <alignment vertical="bottom"/>
    </xf>
    <xf borderId="13" fillId="14" fontId="1" numFmtId="0" xfId="0" applyAlignment="1" applyBorder="1" applyFont="1">
      <alignment vertical="bottom"/>
    </xf>
    <xf borderId="13" fillId="0" fontId="1" numFmtId="0" xfId="0" applyAlignment="1" applyBorder="1" applyFont="1">
      <alignment vertical="bottom"/>
    </xf>
    <xf borderId="1" fillId="0" fontId="1" numFmtId="0" xfId="0" applyAlignment="1" applyBorder="1" applyFont="1">
      <alignment readingOrder="0"/>
    </xf>
    <xf borderId="6" fillId="0" fontId="6" numFmtId="0" xfId="0" applyAlignment="1" applyBorder="1" applyFont="1">
      <alignment readingOrder="0" vertical="center"/>
    </xf>
    <xf borderId="16" fillId="0" fontId="1" numFmtId="0" xfId="0" applyAlignment="1" applyBorder="1" applyFont="1">
      <alignment vertical="bottom"/>
    </xf>
    <xf borderId="17" fillId="0" fontId="1" numFmtId="0" xfId="0" applyAlignment="1" applyBorder="1" applyFont="1">
      <alignment vertical="bottom"/>
    </xf>
    <xf borderId="0" fillId="14" fontId="21" numFmtId="0" xfId="0" applyAlignment="1" applyFont="1">
      <alignment readingOrder="0"/>
    </xf>
    <xf borderId="0" fillId="14" fontId="6" numFmtId="0" xfId="0" applyFont="1"/>
    <xf borderId="13" fillId="14" fontId="6" numFmtId="0" xfId="0" applyBorder="1" applyFont="1"/>
    <xf borderId="1" fillId="14" fontId="6" numFmtId="0" xfId="0" applyAlignment="1" applyBorder="1" applyFont="1">
      <alignment readingOrder="0" vertical="center"/>
    </xf>
    <xf borderId="3" fillId="14" fontId="6" numFmtId="0" xfId="0" applyAlignment="1" applyBorder="1" applyFont="1">
      <alignment readingOrder="0" vertical="center"/>
    </xf>
    <xf borderId="11" fillId="14" fontId="6" numFmtId="0" xfId="0" applyAlignment="1" applyBorder="1" applyFont="1">
      <alignment vertical="center"/>
    </xf>
    <xf borderId="0" fillId="0" fontId="25" numFmtId="0" xfId="0" applyAlignment="1" applyFont="1">
      <alignment readingOrder="0" vertical="center"/>
    </xf>
    <xf borderId="0" fillId="0" fontId="6" numFmtId="0" xfId="0" applyAlignment="1" applyFont="1">
      <alignment vertical="center"/>
    </xf>
    <xf borderId="0" fillId="0" fontId="6" numFmtId="0" xfId="0" applyAlignment="1" applyFont="1">
      <alignment readingOrder="0" vertical="center"/>
    </xf>
    <xf borderId="1" fillId="14" fontId="26" numFmtId="0" xfId="0" applyAlignment="1" applyBorder="1" applyFont="1">
      <alignment shrinkToFit="0" vertical="bottom" wrapText="1"/>
    </xf>
    <xf borderId="1" fillId="14" fontId="26" numFmtId="0" xfId="0" applyAlignment="1" applyBorder="1" applyFont="1">
      <alignment readingOrder="0" vertical="bottom"/>
    </xf>
    <xf borderId="0" fillId="0" fontId="27" numFmtId="0" xfId="0" applyAlignment="1" applyFont="1">
      <alignment readingOrder="0"/>
    </xf>
    <xf borderId="6" fillId="14" fontId="6" numFmtId="0" xfId="0" applyAlignment="1" applyBorder="1" applyFont="1">
      <alignment readingOrder="0" vertical="center"/>
    </xf>
    <xf borderId="7" fillId="14" fontId="6" numFmtId="0" xfId="0" applyAlignment="1" applyBorder="1" applyFont="1">
      <alignment readingOrder="0" vertical="center"/>
    </xf>
    <xf borderId="16" fillId="14" fontId="6" numFmtId="0" xfId="0" applyAlignment="1" applyBorder="1" applyFont="1">
      <alignment readingOrder="0" vertical="center"/>
    </xf>
    <xf borderId="8" fillId="14" fontId="6" numFmtId="0" xfId="0" applyAlignment="1" applyBorder="1" applyFont="1">
      <alignment vertical="center"/>
    </xf>
    <xf borderId="0" fillId="14" fontId="3" numFmtId="0" xfId="0" applyAlignment="1" applyFont="1">
      <alignment vertical="bottom"/>
    </xf>
    <xf borderId="0" fillId="0" fontId="28" numFmtId="0" xfId="0" applyAlignment="1" applyFont="1">
      <alignment vertical="bottom"/>
    </xf>
    <xf borderId="3" fillId="0" fontId="1" numFmtId="0" xfId="0" applyAlignment="1" applyBorder="1" applyFont="1">
      <alignment horizontal="center" vertical="bottom"/>
    </xf>
    <xf borderId="0" fillId="6" fontId="1" numFmtId="10" xfId="0" applyAlignment="1" applyFont="1" applyNumberFormat="1">
      <alignment horizontal="right" vertical="bottom"/>
    </xf>
    <xf borderId="0" fillId="0" fontId="1" numFmtId="0" xfId="0" applyAlignment="1" applyFont="1">
      <alignment horizontal="right" vertical="bottom"/>
    </xf>
    <xf borderId="0" fillId="0" fontId="1" numFmtId="1" xfId="0" applyAlignment="1" applyFont="1" applyNumberFormat="1">
      <alignment horizontal="right" vertical="bottom"/>
    </xf>
    <xf borderId="0" fillId="0" fontId="1" numFmtId="174" xfId="0" applyAlignment="1" applyFont="1" applyNumberFormat="1">
      <alignment horizontal="right" vertical="bottom"/>
    </xf>
    <xf borderId="0" fillId="6" fontId="1" numFmtId="175" xfId="0" applyAlignment="1" applyFont="1" applyNumberFormat="1">
      <alignment horizontal="right" vertical="bottom"/>
    </xf>
    <xf borderId="3" fillId="0" fontId="1" numFmtId="0" xfId="0" applyAlignment="1" applyBorder="1" applyFont="1">
      <alignment vertical="bottom"/>
    </xf>
    <xf borderId="3" fillId="6" fontId="1" numFmtId="175" xfId="0" applyAlignment="1" applyBorder="1" applyFont="1" applyNumberFormat="1">
      <alignment horizontal="right" vertical="bottom"/>
    </xf>
    <xf borderId="3" fillId="0" fontId="1" numFmtId="1" xfId="0" applyAlignment="1" applyBorder="1" applyFont="1" applyNumberFormat="1">
      <alignment horizontal="right" vertical="bottom"/>
    </xf>
    <xf borderId="0" fillId="0" fontId="1" numFmtId="175" xfId="0" applyAlignment="1" applyFont="1" applyNumberFormat="1">
      <alignment horizontal="right" vertical="bottom"/>
    </xf>
    <xf borderId="16" fillId="0" fontId="1" numFmtId="0" xfId="0" applyAlignment="1" applyBorder="1" applyFont="1">
      <alignment horizontal="right" vertical="bottom"/>
    </xf>
    <xf borderId="0" fillId="6" fontId="1" numFmtId="1" xfId="0" applyAlignment="1" applyFont="1" applyNumberFormat="1">
      <alignment horizontal="right" readingOrder="0" vertical="bottom"/>
    </xf>
    <xf borderId="0" fillId="0" fontId="1" numFmtId="174" xfId="0" applyAlignment="1" applyFont="1" applyNumberFormat="1">
      <alignment vertical="bottom"/>
    </xf>
    <xf borderId="0" fillId="0" fontId="1" numFmtId="175" xfId="0" applyAlignment="1" applyFont="1" applyNumberFormat="1">
      <alignment vertical="bottom"/>
    </xf>
    <xf borderId="1" fillId="16" fontId="7" numFmtId="0" xfId="0" applyAlignment="1" applyBorder="1" applyFill="1" applyFont="1">
      <alignment horizontal="center" vertical="bottom"/>
    </xf>
    <xf borderId="1" fillId="16" fontId="7" numFmtId="0" xfId="0" applyAlignment="1" applyBorder="1" applyFont="1">
      <alignment horizontal="center" vertical="bottom"/>
    </xf>
    <xf borderId="1" fillId="16" fontId="1" numFmtId="0" xfId="0" applyAlignment="1" applyBorder="1" applyFont="1">
      <alignment horizontal="center" vertical="bottom"/>
    </xf>
    <xf borderId="1" fillId="16" fontId="7" numFmtId="175" xfId="0" applyAlignment="1" applyBorder="1" applyFont="1" applyNumberFormat="1">
      <alignment horizontal="center" vertical="bottom"/>
    </xf>
    <xf borderId="1" fillId="16" fontId="7" numFmtId="10" xfId="0" applyAlignment="1" applyBorder="1" applyFont="1" applyNumberFormat="1">
      <alignment horizontal="center" vertical="bottom"/>
    </xf>
    <xf borderId="1" fillId="0" fontId="26" numFmtId="0" xfId="0" applyAlignment="1" applyBorder="1" applyFont="1">
      <alignment readingOrder="0" vertical="bottom"/>
    </xf>
    <xf borderId="1" fillId="17" fontId="26" numFmtId="0" xfId="0" applyAlignment="1" applyBorder="1" applyFill="1" applyFont="1">
      <alignment shrinkToFit="0" vertical="bottom" wrapText="1"/>
    </xf>
    <xf borderId="1" fillId="16" fontId="29" numFmtId="0" xfId="0" applyAlignment="1" applyBorder="1" applyFont="1">
      <alignment vertical="bottom"/>
    </xf>
    <xf borderId="1" fillId="18" fontId="1" numFmtId="0" xfId="0" applyAlignment="1" applyBorder="1" applyFill="1" applyFont="1">
      <alignment horizontal="right" vertical="bottom"/>
    </xf>
    <xf borderId="1" fillId="17" fontId="26" numFmtId="175" xfId="0" applyAlignment="1" applyBorder="1" applyFont="1" applyNumberFormat="1">
      <alignment horizontal="right" vertical="bottom"/>
    </xf>
    <xf borderId="9" fillId="0" fontId="1" numFmtId="10" xfId="0" applyAlignment="1" applyBorder="1" applyFont="1" applyNumberFormat="1">
      <alignment horizontal="right" vertical="bottom"/>
    </xf>
    <xf borderId="1" fillId="4" fontId="26" numFmtId="0" xfId="0" applyAlignment="1" applyBorder="1" applyFont="1">
      <alignment readingOrder="0" vertical="bottom"/>
    </xf>
    <xf borderId="1" fillId="6" fontId="26" numFmtId="0" xfId="0" applyAlignment="1" applyBorder="1" applyFont="1">
      <alignment vertical="bottom"/>
    </xf>
    <xf borderId="1" fillId="18" fontId="1" numFmtId="174" xfId="0" applyAlignment="1" applyBorder="1" applyFont="1" applyNumberFormat="1">
      <alignment horizontal="right" vertical="bottom"/>
    </xf>
    <xf borderId="4" fillId="0" fontId="12" numFmtId="0" xfId="0" applyBorder="1" applyFont="1"/>
    <xf borderId="1" fillId="5" fontId="26" numFmtId="0" xfId="0" applyAlignment="1" applyBorder="1" applyFont="1">
      <alignment readingOrder="0" vertical="bottom"/>
    </xf>
    <xf borderId="1" fillId="5" fontId="26" numFmtId="0" xfId="0" applyAlignment="1" applyBorder="1" applyFont="1">
      <alignment shrinkToFit="0" vertical="bottom" wrapText="1"/>
    </xf>
    <xf borderId="1" fillId="5" fontId="26" numFmtId="0" xfId="0" applyAlignment="1" applyBorder="1" applyFont="1">
      <alignment vertical="bottom"/>
    </xf>
    <xf borderId="1" fillId="5" fontId="1" numFmtId="174" xfId="0" applyAlignment="1" applyBorder="1" applyFont="1" applyNumberFormat="1">
      <alignment horizontal="right" readingOrder="0" vertical="bottom"/>
    </xf>
    <xf borderId="1" fillId="5" fontId="26" numFmtId="175" xfId="0" applyAlignment="1" applyBorder="1" applyFont="1" applyNumberFormat="1">
      <alignment horizontal="right" readingOrder="0" vertical="bottom"/>
    </xf>
    <xf borderId="1" fillId="0" fontId="26" numFmtId="0" xfId="0" applyAlignment="1" applyBorder="1" applyFont="1">
      <alignment vertical="bottom"/>
    </xf>
    <xf borderId="10" fillId="0" fontId="12" numFmtId="0" xfId="0" applyBorder="1" applyFont="1"/>
    <xf borderId="1" fillId="19" fontId="26" numFmtId="0" xfId="0" applyAlignment="1" applyBorder="1" applyFill="1" applyFont="1">
      <alignment vertical="bottom"/>
    </xf>
    <xf borderId="1" fillId="18" fontId="1" numFmtId="0" xfId="0" applyAlignment="1" applyBorder="1" applyFont="1">
      <alignment horizontal="right" vertical="bottom"/>
    </xf>
    <xf borderId="9" fillId="0" fontId="1" numFmtId="175" xfId="0" applyAlignment="1" applyBorder="1" applyFont="1" applyNumberFormat="1">
      <alignment horizontal="right" vertical="bottom"/>
    </xf>
    <xf borderId="1" fillId="8" fontId="26" numFmtId="0" xfId="0" applyAlignment="1" applyBorder="1" applyFont="1">
      <alignment vertical="bottom"/>
    </xf>
    <xf borderId="1" fillId="18" fontId="26" numFmtId="0" xfId="0" applyAlignment="1" applyBorder="1" applyFont="1">
      <alignment vertical="bottom"/>
    </xf>
    <xf borderId="0" fillId="0" fontId="26" numFmtId="10" xfId="0" applyAlignment="1" applyFont="1" applyNumberFormat="1">
      <alignment horizontal="right" vertical="bottom"/>
    </xf>
    <xf borderId="0" fillId="0" fontId="26" numFmtId="173" xfId="0" applyAlignment="1" applyFont="1" applyNumberFormat="1">
      <alignment horizontal="right" vertical="bottom"/>
    </xf>
    <xf borderId="0" fillId="0" fontId="1" numFmtId="173" xfId="0" applyAlignment="1" applyFont="1" applyNumberFormat="1">
      <alignment vertical="bottom"/>
    </xf>
    <xf borderId="0" fillId="14" fontId="30" numFmtId="0" xfId="0" applyAlignment="1" applyFont="1">
      <alignment vertical="bottom"/>
    </xf>
    <xf borderId="0" fillId="14" fontId="1" numFmtId="10" xfId="0" applyAlignment="1" applyFont="1" applyNumberFormat="1">
      <alignment vertical="bottom"/>
    </xf>
    <xf borderId="0" fillId="14" fontId="1" numFmtId="173" xfId="0" applyAlignment="1" applyFont="1" applyNumberFormat="1">
      <alignment vertical="bottom"/>
    </xf>
    <xf borderId="3" fillId="0" fontId="1" numFmtId="0" xfId="0" applyAlignment="1" applyBorder="1" applyFont="1">
      <alignment horizontal="center" vertical="bottom"/>
    </xf>
    <xf borderId="0" fillId="0" fontId="1" numFmtId="10" xfId="0" applyAlignment="1" applyFont="1" applyNumberFormat="1">
      <alignment horizontal="center" vertical="bottom"/>
    </xf>
    <xf borderId="0" fillId="0" fontId="1" numFmtId="0" xfId="0" applyAlignment="1" applyFont="1">
      <alignment horizontal="right" vertical="bottom"/>
    </xf>
    <xf borderId="0" fillId="4" fontId="1" numFmtId="0" xfId="0" applyAlignment="1" applyFont="1">
      <alignment vertical="bottom"/>
    </xf>
    <xf borderId="3" fillId="0" fontId="1" numFmtId="0" xfId="0" applyAlignment="1" applyBorder="1" applyFont="1">
      <alignment vertical="bottom"/>
    </xf>
    <xf borderId="3" fillId="6" fontId="1" numFmtId="175" xfId="0" applyAlignment="1" applyBorder="1" applyFont="1" applyNumberFormat="1">
      <alignment vertical="bottom"/>
    </xf>
    <xf borderId="3" fillId="0" fontId="1" numFmtId="1" xfId="0" applyAlignment="1" applyBorder="1" applyFont="1" applyNumberFormat="1">
      <alignment vertical="bottom"/>
    </xf>
    <xf borderId="16" fillId="0" fontId="1" numFmtId="0" xfId="0" applyAlignment="1" applyBorder="1" applyFont="1">
      <alignment horizontal="right" vertical="bottom"/>
    </xf>
    <xf borderId="0" fillId="0" fontId="1" numFmtId="1" xfId="0" applyAlignment="1" applyFont="1" applyNumberFormat="1">
      <alignment vertical="bottom"/>
    </xf>
    <xf borderId="9" fillId="0" fontId="1" numFmtId="175" xfId="0" applyAlignment="1" applyBorder="1" applyFont="1" applyNumberFormat="1">
      <alignment horizontal="right" readingOrder="0" vertical="bottom"/>
    </xf>
    <xf borderId="0" fillId="0" fontId="26" numFmtId="0" xfId="0" applyAlignment="1" applyFont="1">
      <alignment vertical="bottom"/>
    </xf>
    <xf borderId="0" fillId="17" fontId="26" numFmtId="0" xfId="0" applyAlignment="1" applyFont="1">
      <alignment shrinkToFit="0" vertical="bottom" wrapText="1"/>
    </xf>
    <xf borderId="0" fillId="19" fontId="26" numFmtId="0" xfId="0" applyAlignment="1" applyFont="1">
      <alignment vertical="bottom"/>
    </xf>
    <xf borderId="0" fillId="18" fontId="1" numFmtId="0" xfId="0" applyAlignment="1" applyFont="1">
      <alignment horizontal="right" vertical="bottom"/>
    </xf>
    <xf borderId="0" fillId="17" fontId="26" numFmtId="175" xfId="0" applyAlignment="1" applyFont="1" applyNumberFormat="1">
      <alignment horizontal="right" vertical="bottom"/>
    </xf>
    <xf borderId="0" fillId="0" fontId="1" numFmtId="175" xfId="0" applyAlignment="1" applyFont="1" applyNumberFormat="1">
      <alignment horizontal="right" readingOrder="0" vertical="bottom"/>
    </xf>
    <xf borderId="1" fillId="10" fontId="1" numFmtId="3" xfId="0" applyAlignment="1" applyBorder="1" applyFont="1" applyNumberFormat="1">
      <alignment vertical="bottom"/>
    </xf>
    <xf borderId="1" fillId="10" fontId="1" numFmtId="168" xfId="0" applyAlignment="1" applyBorder="1" applyFont="1" applyNumberFormat="1">
      <alignment vertical="bottom"/>
    </xf>
    <xf borderId="1" fillId="0" fontId="7" numFmtId="0" xfId="0" applyAlignment="1" applyBorder="1" applyFont="1">
      <alignment readingOrder="0" vertical="bottom"/>
    </xf>
    <xf borderId="1" fillId="9" fontId="7" numFmtId="0" xfId="0" applyAlignment="1" applyBorder="1" applyFont="1">
      <alignment horizontal="right" readingOrder="0" vertical="bottom"/>
    </xf>
    <xf borderId="1" fillId="4" fontId="7" numFmtId="0" xfId="0" applyAlignment="1" applyBorder="1" applyFont="1">
      <alignment horizontal="right" readingOrder="0" vertical="bottom"/>
    </xf>
    <xf borderId="1" fillId="10" fontId="7" numFmtId="168" xfId="0" applyAlignment="1" applyBorder="1" applyFont="1" applyNumberFormat="1">
      <alignment vertical="bottom"/>
    </xf>
    <xf borderId="9" fillId="0" fontId="1" numFmtId="0" xfId="0" applyAlignment="1" applyBorder="1" applyFont="1">
      <alignment vertical="bottom"/>
    </xf>
    <xf borderId="9" fillId="0" fontId="7" numFmtId="0" xfId="0" applyAlignment="1" applyBorder="1" applyFont="1">
      <alignment horizontal="right" vertical="bottom"/>
    </xf>
    <xf borderId="9" fillId="0" fontId="7" numFmtId="0" xfId="0" applyAlignment="1" applyBorder="1" applyFont="1">
      <alignment vertical="bottom"/>
    </xf>
    <xf borderId="1" fillId="0" fontId="7" numFmtId="173" xfId="0" applyAlignment="1" applyBorder="1" applyFont="1" applyNumberFormat="1">
      <alignment horizontal="right" vertical="bottom"/>
    </xf>
    <xf borderId="1" fillId="12" fontId="7" numFmtId="0" xfId="0" applyAlignment="1" applyBorder="1" applyFont="1">
      <alignment readingOrder="0" vertical="bottom"/>
    </xf>
    <xf borderId="0" fillId="0" fontId="7" numFmtId="0" xfId="0" applyAlignment="1" applyFont="1">
      <alignment vertical="bottom"/>
    </xf>
    <xf borderId="1" fillId="3" fontId="6" numFmtId="0" xfId="0" applyAlignment="1" applyBorder="1" applyFont="1">
      <alignment readingOrder="0" vertical="center"/>
    </xf>
    <xf borderId="3" fillId="3" fontId="6" numFmtId="0" xfId="0" applyAlignment="1" applyBorder="1" applyFont="1">
      <alignment readingOrder="0" vertical="center"/>
    </xf>
    <xf borderId="11" fillId="3" fontId="6" numFmtId="0" xfId="0" applyAlignment="1" applyBorder="1" applyFont="1">
      <alignment vertical="center"/>
    </xf>
    <xf borderId="1" fillId="3" fontId="26" numFmtId="0" xfId="0" applyAlignment="1" applyBorder="1" applyFont="1">
      <alignment shrinkToFit="0" vertical="bottom" wrapText="1"/>
    </xf>
    <xf borderId="1" fillId="3" fontId="26" numFmtId="0" xfId="0" applyAlignment="1" applyBorder="1" applyFont="1">
      <alignment readingOrder="0" vertical="bottom"/>
    </xf>
    <xf borderId="6" fillId="3" fontId="6" numFmtId="0" xfId="0" applyAlignment="1" applyBorder="1" applyFont="1">
      <alignment readingOrder="0" vertical="center"/>
    </xf>
    <xf borderId="7" fillId="3" fontId="6" numFmtId="0" xfId="0" applyAlignment="1" applyBorder="1" applyFont="1">
      <alignment readingOrder="0" vertical="center"/>
    </xf>
    <xf borderId="16" fillId="3" fontId="6" numFmtId="0" xfId="0" applyAlignment="1" applyBorder="1" applyFont="1">
      <alignment readingOrder="0" vertical="center"/>
    </xf>
    <xf borderId="8" fillId="3" fontId="6" numFmtId="0" xfId="0" applyAlignment="1" applyBorder="1" applyFont="1">
      <alignment vertical="center"/>
    </xf>
    <xf borderId="0" fillId="6" fontId="1" numFmtId="1" xfId="0" applyAlignment="1" applyFont="1" applyNumberFormat="1">
      <alignment horizontal="right" vertical="bottom"/>
    </xf>
    <xf borderId="1" fillId="12" fontId="26" numFmtId="0" xfId="0" applyAlignment="1" applyBorder="1" applyFont="1">
      <alignment readingOrder="0" vertical="bottom"/>
    </xf>
    <xf borderId="1" fillId="16" fontId="1" numFmtId="1" xfId="0" applyAlignment="1" applyBorder="1" applyFont="1" applyNumberFormat="1">
      <alignment horizontal="center" vertical="bottom"/>
    </xf>
    <xf borderId="1" fillId="16" fontId="7" numFmtId="173" xfId="0" applyAlignment="1" applyBorder="1" applyFont="1" applyNumberFormat="1">
      <alignment horizontal="center" vertical="bottom"/>
    </xf>
    <xf borderId="8" fillId="0" fontId="1" numFmtId="0" xfId="0" applyAlignment="1" applyBorder="1" applyFont="1">
      <alignment vertical="top"/>
    </xf>
    <xf borderId="6" fillId="14" fontId="6" numFmtId="0" xfId="0" applyAlignment="1" applyBorder="1" applyFont="1">
      <alignment readingOrder="0" shrinkToFit="0" vertical="center" wrapText="1"/>
    </xf>
    <xf borderId="0" fillId="0" fontId="6" numFmtId="0" xfId="0" applyAlignment="1" applyFont="1">
      <alignment readingOrder="0" vertical="center"/>
    </xf>
    <xf borderId="8" fillId="14" fontId="6" numFmtId="0" xfId="0" applyAlignment="1" applyBorder="1" applyFont="1">
      <alignment readingOrder="0" vertical="center"/>
    </xf>
    <xf borderId="0" fillId="6" fontId="1" numFmtId="10" xfId="0" applyAlignment="1" applyFont="1" applyNumberFormat="1">
      <alignment horizontal="right" readingOrder="0" vertical="bottom"/>
    </xf>
    <xf borderId="0" fillId="6" fontId="1" numFmtId="175" xfId="0" applyAlignment="1" applyFont="1" applyNumberFormat="1">
      <alignment horizontal="right" readingOrder="0" vertical="bottom"/>
    </xf>
    <xf borderId="0" fillId="6" fontId="1" numFmtId="0" xfId="0" applyAlignment="1" applyFont="1">
      <alignment horizontal="right" readingOrder="0" vertical="bottom"/>
    </xf>
    <xf borderId="0" fillId="0" fontId="6" numFmtId="0" xfId="0" applyAlignment="1" applyFont="1">
      <alignment horizontal="center"/>
    </xf>
    <xf borderId="1" fillId="16" fontId="7" numFmtId="0" xfId="0" applyAlignment="1" applyBorder="1" applyFont="1">
      <alignment horizontal="center"/>
    </xf>
    <xf borderId="1" fillId="16" fontId="7" numFmtId="175" xfId="0" applyAlignment="1" applyBorder="1" applyFont="1" applyNumberFormat="1">
      <alignment horizontal="center"/>
    </xf>
    <xf borderId="1" fillId="16" fontId="7" numFmtId="10" xfId="0" applyAlignment="1" applyBorder="1" applyFont="1" applyNumberFormat="1">
      <alignment horizontal="center"/>
    </xf>
    <xf borderId="1" fillId="20" fontId="29" numFmtId="0" xfId="0" applyAlignment="1" applyBorder="1" applyFill="1" applyFont="1">
      <alignment vertical="bottom"/>
    </xf>
    <xf borderId="1" fillId="16" fontId="1" numFmtId="0" xfId="0" applyAlignment="1" applyBorder="1" applyFont="1">
      <alignment horizontal="center" vertical="bottom"/>
    </xf>
    <xf borderId="9" fillId="0" fontId="1" numFmtId="10" xfId="0" applyAlignment="1" applyBorder="1" applyFont="1" applyNumberFormat="1">
      <alignment horizontal="right" readingOrder="0" vertical="bottom"/>
    </xf>
    <xf borderId="0" fillId="0" fontId="26" numFmtId="0" xfId="0" applyAlignment="1" applyFont="1">
      <alignment readingOrder="0" vertical="bottom"/>
    </xf>
    <xf borderId="0" fillId="8" fontId="26" numFmtId="0" xfId="0" applyAlignment="1" applyFont="1">
      <alignment vertical="bottom"/>
    </xf>
    <xf borderId="0" fillId="0" fontId="1" numFmtId="10" xfId="0" applyAlignment="1" applyFont="1" applyNumberFormat="1">
      <alignment horizontal="right" vertical="bottom"/>
    </xf>
    <xf borderId="0" fillId="0" fontId="31" numFmtId="0" xfId="0" applyAlignment="1" applyFont="1">
      <alignment readingOrder="0"/>
    </xf>
    <xf borderId="7" fillId="4" fontId="6" numFmtId="0" xfId="0" applyAlignment="1" applyBorder="1" applyFont="1">
      <alignment readingOrder="0"/>
    </xf>
    <xf borderId="0" fillId="14" fontId="3" numFmtId="0" xfId="0" applyAlignment="1" applyFont="1">
      <alignment readingOrder="0" vertical="bottom"/>
    </xf>
    <xf borderId="18" fillId="0" fontId="6" numFmtId="0" xfId="0" applyAlignment="1" applyBorder="1" applyFont="1">
      <alignment readingOrder="0" vertical="center"/>
    </xf>
    <xf borderId="19" fillId="0" fontId="6" numFmtId="0" xfId="0" applyAlignment="1" applyBorder="1" applyFont="1">
      <alignment readingOrder="0" vertical="center"/>
    </xf>
    <xf borderId="20" fillId="0" fontId="6" numFmtId="0" xfId="0" applyAlignment="1" applyBorder="1" applyFont="1">
      <alignment readingOrder="0" vertical="center"/>
    </xf>
    <xf borderId="21" fillId="0" fontId="6" numFmtId="0" xfId="0" applyAlignment="1" applyBorder="1" applyFont="1">
      <alignment readingOrder="0" vertical="center"/>
    </xf>
    <xf borderId="22" fillId="0" fontId="6" numFmtId="0" xfId="0" applyAlignment="1" applyBorder="1" applyFont="1">
      <alignment readingOrder="0" vertical="center"/>
    </xf>
    <xf borderId="2" fillId="0" fontId="6" numFmtId="0" xfId="0" applyAlignment="1" applyBorder="1" applyFont="1">
      <alignment readingOrder="0" vertical="center"/>
    </xf>
    <xf borderId="12" fillId="0" fontId="6" numFmtId="0" xfId="0" applyAlignment="1" applyBorder="1" applyFont="1">
      <alignment readingOrder="0" vertical="center"/>
    </xf>
    <xf borderId="12" fillId="4" fontId="17" numFmtId="0" xfId="0" applyAlignment="1" applyBorder="1" applyFont="1">
      <alignment readingOrder="0" vertical="center"/>
    </xf>
    <xf borderId="23" fillId="0" fontId="6" numFmtId="0" xfId="0" applyAlignment="1" applyBorder="1" applyFont="1">
      <alignment readingOrder="0" vertical="center"/>
    </xf>
    <xf borderId="24" fillId="0" fontId="6" numFmtId="0" xfId="0" applyAlignment="1" applyBorder="1" applyFont="1">
      <alignment readingOrder="0" vertical="center"/>
    </xf>
    <xf borderId="25" fillId="0" fontId="6" numFmtId="0" xfId="0" applyAlignment="1" applyBorder="1" applyFont="1">
      <alignment readingOrder="0" vertical="center"/>
    </xf>
    <xf borderId="26" fillId="0" fontId="6" numFmtId="0" xfId="0" applyAlignment="1" applyBorder="1" applyFont="1">
      <alignment readingOrder="0" vertical="center"/>
    </xf>
    <xf borderId="27" fillId="0" fontId="6" numFmtId="0" xfId="0" applyAlignment="1" applyBorder="1" applyFont="1">
      <alignment readingOrder="0" vertical="center"/>
    </xf>
    <xf borderId="28" fillId="0" fontId="6" numFmtId="0" xfId="0" applyAlignment="1" applyBorder="1" applyFont="1">
      <alignment readingOrder="0" vertical="center"/>
    </xf>
    <xf borderId="2" fillId="4" fontId="17" numFmtId="0" xfId="0" applyAlignment="1" applyBorder="1" applyFont="1">
      <alignment readingOrder="0" vertical="center"/>
    </xf>
    <xf borderId="0" fillId="2" fontId="3" numFmtId="0" xfId="0" applyAlignment="1" applyFont="1">
      <alignment readingOrder="0" vertical="center"/>
    </xf>
    <xf borderId="0" fillId="2" fontId="1" numFmtId="0" xfId="0" applyAlignment="1" applyFont="1">
      <alignment vertical="center"/>
    </xf>
    <xf borderId="0" fillId="2" fontId="1" numFmtId="0" xfId="0" applyAlignment="1" applyFont="1">
      <alignment vertical="center"/>
    </xf>
    <xf borderId="0" fillId="2" fontId="1" numFmtId="10" xfId="0" applyAlignment="1" applyFont="1" applyNumberFormat="1">
      <alignment vertical="center"/>
    </xf>
    <xf borderId="0" fillId="2" fontId="1" numFmtId="173" xfId="0" applyAlignment="1" applyFont="1" applyNumberFormat="1">
      <alignment vertical="center"/>
    </xf>
    <xf borderId="13" fillId="2" fontId="1" numFmtId="0" xfId="0" applyAlignment="1" applyBorder="1" applyFont="1">
      <alignment vertical="center"/>
    </xf>
    <xf borderId="0" fillId="2" fontId="6" numFmtId="0" xfId="0" applyAlignment="1" applyFont="1">
      <alignment vertical="center"/>
    </xf>
    <xf borderId="0" fillId="0" fontId="26" numFmtId="0" xfId="0" applyAlignment="1" applyFont="1">
      <alignment shrinkToFit="0" vertical="bottom" wrapText="1"/>
    </xf>
    <xf borderId="0" fillId="0" fontId="26" numFmtId="175" xfId="0" applyAlignment="1" applyFont="1" applyNumberFormat="1">
      <alignment horizontal="right" vertical="bottom"/>
    </xf>
    <xf borderId="29" fillId="0" fontId="6" numFmtId="0" xfId="0" applyAlignment="1" applyBorder="1" applyFont="1">
      <alignment readingOrder="0" vertical="center"/>
    </xf>
    <xf borderId="0" fillId="0" fontId="20" numFmtId="0" xfId="0" applyAlignment="1" applyFont="1">
      <alignment horizontal="right" readingOrder="0" vertical="center"/>
    </xf>
    <xf borderId="3" fillId="0" fontId="20" numFmtId="0" xfId="0" applyAlignment="1" applyBorder="1" applyFont="1">
      <alignment vertical="center"/>
    </xf>
    <xf borderId="1" fillId="0" fontId="20" numFmtId="0" xfId="0" applyAlignment="1" applyBorder="1" applyFont="1">
      <alignment horizontal="center" readingOrder="0" vertical="center"/>
    </xf>
    <xf borderId="1" fillId="0" fontId="20" numFmtId="0" xfId="0" applyAlignment="1" applyBorder="1" applyFont="1">
      <alignment horizontal="center" vertical="center"/>
    </xf>
    <xf borderId="2" fillId="0" fontId="20" numFmtId="0" xfId="0" applyAlignment="1" applyBorder="1" applyFont="1">
      <alignment horizontal="center" readingOrder="0" vertical="center"/>
    </xf>
    <xf borderId="0" fillId="0" fontId="20" numFmtId="0" xfId="0" applyAlignment="1" applyFont="1">
      <alignment horizontal="center" readingOrder="0" vertical="center"/>
    </xf>
    <xf borderId="3" fillId="4" fontId="6" numFmtId="0" xfId="0" applyAlignment="1" applyBorder="1" applyFont="1">
      <alignment horizontal="left" readingOrder="0"/>
    </xf>
    <xf borderId="3" fillId="0" fontId="32" numFmtId="0" xfId="0" applyAlignment="1" applyBorder="1" applyFont="1">
      <alignment readingOrder="0"/>
    </xf>
    <xf borderId="6" fillId="0" fontId="6" numFmtId="0" xfId="0" applyAlignment="1" applyBorder="1" applyFont="1">
      <alignment horizontal="left" readingOrder="0"/>
    </xf>
    <xf borderId="6" fillId="0" fontId="33" numFmtId="0" xfId="0" applyAlignment="1" applyBorder="1" applyFont="1">
      <alignment vertical="bottom"/>
    </xf>
    <xf borderId="6" fillId="0" fontId="1" numFmtId="3" xfId="0" applyAlignment="1" applyBorder="1" applyFont="1" applyNumberFormat="1">
      <alignment horizontal="center" readingOrder="0" vertical="center"/>
    </xf>
    <xf borderId="6" fillId="0" fontId="34" numFmtId="0" xfId="0" applyAlignment="1" applyBorder="1" applyFont="1">
      <alignment readingOrder="0" vertical="center"/>
    </xf>
    <xf borderId="7" fillId="0" fontId="1" numFmtId="0" xfId="0" applyAlignment="1" applyBorder="1" applyFont="1">
      <alignment shrinkToFit="0" vertical="center" wrapText="1"/>
    </xf>
    <xf borderId="6" fillId="0" fontId="1" numFmtId="0" xfId="0" applyAlignment="1" applyBorder="1" applyFont="1">
      <alignment horizontal="left" readingOrder="0" vertical="bottom"/>
    </xf>
    <xf borderId="8" fillId="0" fontId="1" numFmtId="0" xfId="0" applyAlignment="1" applyBorder="1" applyFont="1">
      <alignment vertical="center"/>
    </xf>
    <xf borderId="9" fillId="0" fontId="6" numFmtId="0" xfId="0" applyAlignment="1" applyBorder="1" applyFont="1">
      <alignment readingOrder="0"/>
    </xf>
    <xf borderId="4" fillId="0" fontId="6" numFmtId="0" xfId="0" applyAlignment="1" applyBorder="1" applyFont="1">
      <alignment readingOrder="0"/>
    </xf>
    <xf borderId="4" fillId="0" fontId="6" numFmtId="0" xfId="0" applyBorder="1" applyFont="1"/>
    <xf borderId="10" fillId="0" fontId="6" numFmtId="0" xfId="0" applyBorder="1" applyFont="1"/>
    <xf borderId="13" fillId="0" fontId="6" numFmtId="0" xfId="0" applyBorder="1" applyFont="1"/>
    <xf borderId="1" fillId="14" fontId="1" numFmtId="0" xfId="0" applyBorder="1" applyFont="1"/>
    <xf borderId="1" fillId="14" fontId="26" numFmtId="0" xfId="0" applyAlignment="1" applyBorder="1" applyFont="1">
      <alignment vertical="bottom"/>
    </xf>
    <xf borderId="6" fillId="14" fontId="1" numFmtId="0" xfId="0" applyAlignment="1" applyBorder="1" applyFont="1">
      <alignment readingOrder="0"/>
    </xf>
    <xf borderId="7" fillId="14" fontId="1" numFmtId="0" xfId="0" applyBorder="1" applyFont="1"/>
    <xf borderId="16" fillId="14" fontId="1" numFmtId="0" xfId="0" applyBorder="1" applyFont="1"/>
    <xf borderId="8" fillId="14" fontId="1" numFmtId="0" xfId="0" applyBorder="1" applyFont="1"/>
    <xf borderId="1" fillId="14" fontId="1" numFmtId="0" xfId="0" applyAlignment="1" applyBorder="1" applyFont="1">
      <alignment readingOrder="0"/>
    </xf>
    <xf borderId="0" fillId="14" fontId="21" numFmtId="0" xfId="0" applyFont="1"/>
    <xf borderId="13" fillId="14" fontId="21" numFmtId="0" xfId="0" applyBorder="1" applyFont="1"/>
    <xf borderId="0" fillId="4" fontId="1" numFmtId="175" xfId="0" applyAlignment="1" applyFont="1" applyNumberFormat="1">
      <alignment horizontal="right" readingOrder="0" vertical="bottom"/>
    </xf>
    <xf borderId="3" fillId="4" fontId="1" numFmtId="175" xfId="0" applyAlignment="1" applyBorder="1" applyFont="1" applyNumberFormat="1">
      <alignment horizontal="right" readingOrder="0" vertical="bottom"/>
    </xf>
    <xf borderId="0" fillId="6" fontId="1" numFmtId="0" xfId="0" applyAlignment="1" applyFont="1">
      <alignment horizontal="right" vertical="bottom"/>
    </xf>
    <xf borderId="1" fillId="16" fontId="7" numFmtId="0" xfId="0" applyAlignment="1" applyBorder="1" applyFont="1">
      <alignment horizontal="center"/>
    </xf>
    <xf borderId="13" fillId="0" fontId="6" numFmtId="0" xfId="0" applyAlignment="1" applyBorder="1" applyFont="1">
      <alignment horizontal="center"/>
    </xf>
    <xf borderId="1" fillId="0" fontId="26" numFmtId="0" xfId="0" applyAlignment="1" applyBorder="1" applyFont="1">
      <alignment shrinkToFit="0" vertical="bottom" wrapText="1"/>
    </xf>
    <xf borderId="1" fillId="18" fontId="1" numFmtId="1" xfId="0" applyAlignment="1" applyBorder="1" applyFont="1" applyNumberFormat="1">
      <alignment horizontal="right" vertical="bottom"/>
    </xf>
    <xf borderId="9" fillId="4" fontId="1" numFmtId="10" xfId="0" applyAlignment="1" applyBorder="1" applyFont="1" applyNumberFormat="1">
      <alignment horizontal="right" readingOrder="0" vertical="bottom"/>
    </xf>
    <xf borderId="1" fillId="6" fontId="26" numFmtId="173" xfId="0" applyAlignment="1" applyBorder="1" applyFont="1" applyNumberFormat="1">
      <alignment vertical="bottom"/>
    </xf>
    <xf borderId="1" fillId="0" fontId="26" numFmtId="0" xfId="0" applyAlignment="1" applyBorder="1" applyFont="1">
      <alignment shrinkToFit="0" vertical="bottom" wrapText="1"/>
    </xf>
    <xf borderId="1" fillId="19" fontId="26" numFmtId="173" xfId="0" applyAlignment="1" applyBorder="1" applyFont="1" applyNumberFormat="1">
      <alignment vertical="bottom"/>
    </xf>
    <xf borderId="1" fillId="8" fontId="26" numFmtId="173" xfId="0" applyAlignment="1" applyBorder="1" applyFont="1" applyNumberFormat="1">
      <alignment vertical="bottom"/>
    </xf>
    <xf borderId="1" fillId="18" fontId="26" numFmtId="173" xfId="0" applyAlignment="1" applyBorder="1" applyFont="1" applyNumberFormat="1">
      <alignment vertical="bottom"/>
    </xf>
    <xf borderId="4" fillId="4" fontId="1" numFmtId="10" xfId="0" applyAlignment="1" applyBorder="1" applyFont="1" applyNumberFormat="1">
      <alignment horizontal="right" readingOrder="0" vertical="bottom"/>
    </xf>
    <xf borderId="9" fillId="18" fontId="26" numFmtId="173" xfId="0" applyAlignment="1" applyBorder="1" applyFont="1" applyNumberFormat="1">
      <alignment vertical="bottom"/>
    </xf>
    <xf borderId="0" fillId="0" fontId="1" numFmtId="169" xfId="0" applyAlignment="1" applyFont="1" applyNumberFormat="1">
      <alignment readingOrder="0" vertical="bottom"/>
    </xf>
    <xf borderId="0" fillId="0" fontId="7" numFmtId="10" xfId="0" applyAlignment="1" applyFont="1" applyNumberFormat="1">
      <alignment horizontal="right" vertical="bottom"/>
    </xf>
    <xf borderId="0" fillId="0" fontId="7" numFmtId="164" xfId="0" applyAlignment="1" applyFont="1" applyNumberFormat="1">
      <alignment readingOrder="0" vertical="bottom"/>
    </xf>
    <xf borderId="0" fillId="21" fontId="9" numFmtId="0" xfId="0" applyAlignment="1" applyFill="1" applyFont="1">
      <alignment readingOrder="0" vertical="bottom"/>
    </xf>
    <xf borderId="0" fillId="21" fontId="1" numFmtId="0" xfId="0" applyAlignment="1" applyFont="1">
      <alignment vertical="bottom"/>
    </xf>
    <xf borderId="0" fillId="4" fontId="14" numFmtId="0" xfId="0" applyAlignment="1" applyFont="1">
      <alignment readingOrder="0" vertical="bottom"/>
    </xf>
    <xf borderId="0" fillId="0" fontId="1" numFmtId="172" xfId="0" applyAlignment="1" applyFont="1" applyNumberFormat="1">
      <alignment vertical="bottom"/>
    </xf>
    <xf borderId="0" fillId="0" fontId="1" numFmtId="170" xfId="0" applyAlignment="1" applyFont="1" applyNumberFormat="1">
      <alignment vertical="bottom"/>
    </xf>
    <xf borderId="1" fillId="6" fontId="7" numFmtId="171" xfId="0" applyAlignment="1" applyBorder="1" applyFont="1" applyNumberFormat="1">
      <alignment horizontal="right" readingOrder="0" vertical="bottom"/>
    </xf>
    <xf borderId="0" fillId="0" fontId="1" numFmtId="176" xfId="0" applyAlignment="1" applyFont="1" applyNumberFormat="1">
      <alignment readingOrder="0" vertical="bottom"/>
    </xf>
    <xf borderId="0" fillId="0" fontId="13" numFmtId="164" xfId="0" applyAlignment="1" applyFont="1" applyNumberFormat="1">
      <alignment readingOrder="0" vertical="bottom"/>
    </xf>
    <xf borderId="0" fillId="5" fontId="11" numFmtId="0" xfId="0" applyAlignment="1" applyFont="1">
      <alignment vertical="bottom"/>
    </xf>
    <xf borderId="1" fillId="0" fontId="7" numFmtId="0" xfId="0" applyAlignment="1" applyBorder="1" applyFont="1">
      <alignment horizontal="left" readingOrder="0" vertical="center"/>
    </xf>
    <xf borderId="1" fillId="0" fontId="7" numFmtId="170" xfId="0" applyAlignment="1" applyBorder="1" applyFont="1" applyNumberFormat="1">
      <alignment horizontal="right" readingOrder="0" vertical="bottom"/>
    </xf>
    <xf borderId="0" fillId="3" fontId="7" numFmtId="166" xfId="0" applyAlignment="1" applyFont="1" applyNumberFormat="1">
      <alignment horizontal="right" vertical="bottom"/>
    </xf>
    <xf borderId="0" fillId="3" fontId="7" numFmtId="166" xfId="0" applyAlignment="1" applyFont="1" applyNumberFormat="1">
      <alignment vertical="bottom"/>
    </xf>
    <xf borderId="0" fillId="3" fontId="7" numFmtId="10" xfId="0" applyAlignment="1" applyFont="1" applyNumberFormat="1">
      <alignment horizontal="right" vertical="bottom"/>
    </xf>
    <xf borderId="0" fillId="0" fontId="1" numFmtId="0" xfId="0" applyAlignment="1" applyFont="1">
      <alignment readingOrder="0" vertical="bottom"/>
    </xf>
    <xf borderId="1" fillId="4" fontId="7" numFmtId="0" xfId="0" applyAlignment="1" applyBorder="1" applyFont="1">
      <alignment horizontal="right" vertical="bottom"/>
    </xf>
    <xf borderId="0" fillId="4" fontId="7" numFmtId="166" xfId="0" applyAlignment="1" applyFont="1" applyNumberFormat="1">
      <alignment horizontal="right" vertical="bottom"/>
    </xf>
    <xf borderId="1" fillId="13" fontId="11" numFmtId="0" xfId="0" applyAlignment="1" applyBorder="1" applyFont="1">
      <alignment vertical="bottom"/>
    </xf>
    <xf borderId="0" fillId="13" fontId="11" numFmtId="0" xfId="0" applyAlignment="1" applyFont="1">
      <alignment vertical="bottom"/>
    </xf>
    <xf borderId="0" fillId="13" fontId="11" numFmtId="10" xfId="0" applyAlignment="1" applyFont="1" applyNumberFormat="1">
      <alignment horizontal="right" vertical="bottom"/>
    </xf>
    <xf borderId="0" fillId="0" fontId="11" numFmtId="10" xfId="0" applyAlignment="1" applyFont="1" applyNumberFormat="1">
      <alignment horizontal="right" vertical="bottom"/>
    </xf>
    <xf borderId="1" fillId="0" fontId="7" numFmtId="0" xfId="0" applyAlignment="1" applyBorder="1" applyFont="1">
      <alignment horizontal="right" vertical="bottom"/>
    </xf>
    <xf borderId="1" fillId="4" fontId="7" numFmtId="0" xfId="0" applyAlignment="1" applyBorder="1" applyFont="1">
      <alignment readingOrder="0" vertical="bottom"/>
    </xf>
    <xf borderId="0" fillId="0" fontId="13" numFmtId="164" xfId="0" applyAlignment="1" applyFont="1" applyNumberFormat="1">
      <alignment vertical="bottom"/>
    </xf>
    <xf borderId="1" fillId="5" fontId="11" numFmtId="10" xfId="0" applyAlignment="1" applyBorder="1" applyFont="1" applyNumberFormat="1">
      <alignment vertical="bottom"/>
    </xf>
    <xf borderId="0" fillId="5" fontId="1" numFmtId="10" xfId="0" applyAlignment="1" applyFont="1" applyNumberFormat="1">
      <alignment vertical="bottom"/>
    </xf>
    <xf borderId="0" fillId="3" fontId="1" numFmtId="166" xfId="0" applyAlignment="1" applyFont="1" applyNumberFormat="1">
      <alignment vertical="bottom"/>
    </xf>
    <xf borderId="0" fillId="4" fontId="1" numFmtId="166" xfId="0" applyAlignment="1" applyFont="1" applyNumberFormat="1">
      <alignment vertical="bottom"/>
    </xf>
    <xf borderId="1" fillId="13" fontId="11" numFmtId="10" xfId="0" applyAlignment="1" applyBorder="1" applyFont="1" applyNumberFormat="1">
      <alignment vertical="bottom"/>
    </xf>
    <xf borderId="0" fillId="13" fontId="1" numFmtId="10" xfId="0" applyAlignment="1" applyFont="1" applyNumberFormat="1">
      <alignment vertical="bottom"/>
    </xf>
  </cellXfs>
  <cellStyles count="1">
    <cellStyle xfId="0" name="Normal" builtinId="0"/>
  </cellStyles>
  <dxfs count="2">
    <dxf>
      <font/>
      <fill>
        <patternFill patternType="solid">
          <fgColor rgb="FF666666"/>
          <bgColor rgb="FF666666"/>
        </patternFill>
      </fill>
      <border/>
    </dxf>
    <dxf>
      <font>
        <color rgb="FF000000"/>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41</xdr:row>
      <xdr:rowOff>0</xdr:rowOff>
    </xdr:from>
    <xdr:ext cx="619125" cy="1000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42</xdr:row>
      <xdr:rowOff>0</xdr:rowOff>
    </xdr:from>
    <xdr:ext cx="619125" cy="1000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44</xdr:row>
      <xdr:rowOff>0</xdr:rowOff>
    </xdr:from>
    <xdr:ext cx="619125" cy="1000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7</xdr:row>
      <xdr:rowOff>190500</xdr:rowOff>
    </xdr:from>
    <xdr:ext cx="3476625" cy="6191250"/>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41</xdr:row>
      <xdr:rowOff>0</xdr:rowOff>
    </xdr:from>
    <xdr:ext cx="619125" cy="1000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41</xdr:row>
      <xdr:rowOff>0</xdr:rowOff>
    </xdr:from>
    <xdr:ext cx="619125" cy="1000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46</xdr:row>
      <xdr:rowOff>0</xdr:rowOff>
    </xdr:from>
    <xdr:ext cx="619125" cy="10001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58kpNJ8i23nI8mmUStdwZGjpsJOZVAnyLF-kPrGhrMk/edit?gid=1159724316"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920186449" TargetMode="External"/><Relationship Id="rId3" Type="http://schemas.openxmlformats.org/officeDocument/2006/relationships/hyperlink" Target="https://docs.google.com/spreadsheets/d/1IZgz_QtiAw2NY2nvw5QhJvm8zdtzrMKVfcLoNxCzZNg/edit?gid=158837977" TargetMode="External"/><Relationship Id="rId4" Type="http://schemas.openxmlformats.org/officeDocument/2006/relationships/hyperlink" Target="https://docs.google.com/spreadsheets/d/1IZgz_QtiAw2NY2nvw5QhJvm8zdtzrMKVfcLoNxCzZNg/edit?gid=920186449"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920186449" TargetMode="External"/><Relationship Id="rId3" Type="http://schemas.openxmlformats.org/officeDocument/2006/relationships/hyperlink" Target="https://docs.google.com/spreadsheets/d/1IZgz_QtiAw2NY2nvw5QhJvm8zdtzrMKVfcLoNxCzZNg/edit?gid=158837977" TargetMode="External"/><Relationship Id="rId4" Type="http://schemas.openxmlformats.org/officeDocument/2006/relationships/hyperlink" Target="https://docs.google.com/spreadsheets/d/1IZgz_QtiAw2NY2nvw5QhJvm8zdtzrMKVfcLoNxCzZNg/edit?gid=920186449"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920186449" TargetMode="External"/><Relationship Id="rId3" Type="http://schemas.openxmlformats.org/officeDocument/2006/relationships/hyperlink" Target="https://docs.google.com/spreadsheets/d/1IZgz_QtiAw2NY2nvw5QhJvm8zdtzrMKVfcLoNxCzZNg/edit?gid=158837977" TargetMode="External"/><Relationship Id="rId4" Type="http://schemas.openxmlformats.org/officeDocument/2006/relationships/hyperlink" Target="https://docs.google.com/spreadsheets/d/1IZgz_QtiAw2NY2nvw5QhJvm8zdtzrMKVfcLoNxCzZNg/edit?gid=920186449"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NEyOF3xLjKGnVfPiivIT-dr9CG19DoEYYiUOXdO-q-4/edit?gid=1036379318"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920186449" TargetMode="External"/><Relationship Id="rId3" Type="http://schemas.openxmlformats.org/officeDocument/2006/relationships/hyperlink" Target="https://docs.google.com/spreadsheets/d/1IZgz_QtiAw2NY2nvw5QhJvm8zdtzrMKVfcLoNxCzZNg/edit?gid=158837977" TargetMode="External"/><Relationship Id="rId4" Type="http://schemas.openxmlformats.org/officeDocument/2006/relationships/hyperlink" Target="https://docs.google.com/spreadsheets/d/1IZgz_QtiAw2NY2nvw5QhJvm8zdtzrMKVfcLoNxCzZNg/edit?gid=920186449"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920186449" TargetMode="External"/><Relationship Id="rId3" Type="http://schemas.openxmlformats.org/officeDocument/2006/relationships/hyperlink" Target="https://docs.google.com/spreadsheets/d/1IZgz_QtiAw2NY2nvw5QhJvm8zdtzrMKVfcLoNxCzZNg/edit?gid=158837977" TargetMode="External"/><Relationship Id="rId4" Type="http://schemas.openxmlformats.org/officeDocument/2006/relationships/hyperlink" Target="https://docs.google.com/spreadsheets/d/1IZgz_QtiAw2NY2nvw5QhJvm8zdtzrMKVfcLoNxCzZNg/edit?gid=920186449"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IZgz_QtiAw2NY2nvw5QhJvm8zdtzrMKVfcLoNxCzZNg/edit?gid=1243607662" TargetMode="External"/><Relationship Id="rId2" Type="http://schemas.openxmlformats.org/officeDocument/2006/relationships/hyperlink" Target="https://docs.google.com/spreadsheets/d/1IZgz_QtiAw2NY2nvw5QhJvm8zdtzrMKVfcLoNxCzZNg/edit?gid=1243607662" TargetMode="External"/><Relationship Id="rId3" Type="http://schemas.openxmlformats.org/officeDocument/2006/relationships/hyperlink" Target="https://docs.google.com/spreadsheets/d/1IZgz_QtiAw2NY2nvw5QhJvm8zdtzrMKVfcLoNxCzZNg/edit?gid=920186449" TargetMode="External"/><Relationship Id="rId4" Type="http://schemas.openxmlformats.org/officeDocument/2006/relationships/hyperlink" Target="https://docs.google.com/spreadsheets/d/1IZgz_QtiAw2NY2nvw5QhJvm8zdtzrMKVfcLoNxCzZNg/edit?gid=158837977" TargetMode="External"/><Relationship Id="rId5" Type="http://schemas.openxmlformats.org/officeDocument/2006/relationships/hyperlink" Target="https://docs.google.com/spreadsheets/d/1IZgz_QtiAw2NY2nvw5QhJvm8zdtzrMKVfcLoNxCzZNg/edit?gid=920186449"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row>
    <row r="3">
      <c r="A3" s="1"/>
    </row>
    <row r="4">
      <c r="A4" s="1" t="s">
        <v>1</v>
      </c>
    </row>
    <row r="5">
      <c r="A5" s="1" t="s">
        <v>2</v>
      </c>
    </row>
    <row r="6">
      <c r="A6" s="1" t="s">
        <v>3</v>
      </c>
    </row>
    <row r="7">
      <c r="A7" s="1" t="s">
        <v>4</v>
      </c>
    </row>
    <row r="8">
      <c r="A8" s="1"/>
    </row>
    <row r="9">
      <c r="A9" s="1" t="s">
        <v>5</v>
      </c>
    </row>
    <row r="10">
      <c r="A10" s="1" t="s">
        <v>6</v>
      </c>
    </row>
    <row r="11">
      <c r="A11" s="2" t="s">
        <v>7</v>
      </c>
    </row>
    <row r="12">
      <c r="A12" s="1" t="s">
        <v>8</v>
      </c>
    </row>
    <row r="13">
      <c r="A13" s="1" t="s">
        <v>9</v>
      </c>
    </row>
    <row r="14">
      <c r="A14" s="1" t="s">
        <v>10</v>
      </c>
    </row>
    <row r="15">
      <c r="A15" s="1"/>
    </row>
    <row r="16">
      <c r="A16" s="1" t="s">
        <v>11</v>
      </c>
    </row>
    <row r="17">
      <c r="A17" s="1" t="s">
        <v>12</v>
      </c>
    </row>
    <row r="18">
      <c r="A18" s="1" t="s">
        <v>13</v>
      </c>
    </row>
    <row r="19">
      <c r="A19" s="1" t="s">
        <v>14</v>
      </c>
    </row>
    <row r="20">
      <c r="A20" s="1"/>
    </row>
    <row r="21">
      <c r="A21" s="1" t="s">
        <v>15</v>
      </c>
    </row>
    <row r="22">
      <c r="A22" s="1" t="s">
        <v>16</v>
      </c>
    </row>
    <row r="23">
      <c r="A23" s="1" t="s">
        <v>17</v>
      </c>
    </row>
    <row r="24">
      <c r="A24" s="1" t="s">
        <v>18</v>
      </c>
    </row>
    <row r="25">
      <c r="A25" s="1"/>
    </row>
    <row r="26">
      <c r="A26" s="1" t="s">
        <v>19</v>
      </c>
    </row>
    <row r="27">
      <c r="A27" s="1"/>
    </row>
    <row r="28">
      <c r="A28" s="1"/>
    </row>
    <row r="29">
      <c r="A29" s="2" t="s">
        <v>20</v>
      </c>
    </row>
    <row r="30">
      <c r="A3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s>
  <sheetData>
    <row r="2">
      <c r="A2" s="1"/>
      <c r="B2" s="1"/>
      <c r="C2" s="3"/>
      <c r="D2" s="3"/>
      <c r="E2" s="3"/>
    </row>
    <row r="3">
      <c r="A3" s="1"/>
      <c r="B3" s="4" t="s">
        <v>21</v>
      </c>
      <c r="C3" s="5"/>
      <c r="D3" s="5"/>
      <c r="E3" s="4" t="s">
        <v>22</v>
      </c>
    </row>
    <row r="4">
      <c r="B4" s="6" t="s">
        <v>23</v>
      </c>
      <c r="F4" s="7"/>
    </row>
    <row r="5">
      <c r="B5" s="6" t="s">
        <v>24</v>
      </c>
      <c r="F5" s="7"/>
    </row>
    <row r="6">
      <c r="B6" s="6" t="s">
        <v>25</v>
      </c>
    </row>
    <row r="7">
      <c r="B7" s="6" t="s">
        <v>26</v>
      </c>
    </row>
    <row r="8">
      <c r="B8" s="6" t="s">
        <v>27</v>
      </c>
    </row>
    <row r="10">
      <c r="A10" s="1"/>
      <c r="B10" s="8" t="s">
        <v>28</v>
      </c>
      <c r="C10" s="5"/>
      <c r="D10" s="5"/>
      <c r="E10" s="4"/>
    </row>
    <row r="11">
      <c r="A11" s="1"/>
      <c r="B11" s="6" t="s">
        <v>29</v>
      </c>
      <c r="C11" s="1"/>
      <c r="D11" s="1"/>
    </row>
    <row r="12">
      <c r="B12" s="6" t="s">
        <v>30</v>
      </c>
    </row>
    <row r="13">
      <c r="B13" s="6" t="s">
        <v>31</v>
      </c>
    </row>
    <row r="14">
      <c r="B14" s="6" t="s">
        <v>32</v>
      </c>
    </row>
    <row r="16">
      <c r="B16" s="4" t="s">
        <v>33</v>
      </c>
      <c r="C16" s="5"/>
      <c r="D16" s="5"/>
      <c r="E16" s="4"/>
    </row>
    <row r="17">
      <c r="B17" s="9" t="s">
        <v>34</v>
      </c>
      <c r="E17" s="10" t="s">
        <v>35</v>
      </c>
    </row>
  </sheetData>
  <hyperlinks>
    <hyperlink display="前半フェス限ガシャ_設計書" location="'ハーフアニバーサリー 感謝祭!DXフェスガシャ A_設計書'!A1" ref="B4"/>
    <hyperlink display="後半フェス限ガシャ_設計書" location="'ハーフアニバーサリー 感謝祭!DXフェスガシャ B_設計書'!A1" ref="B5"/>
    <hyperlink display="ハーフアニバーサリー 感謝祭！ピックアップガシャ_設計書" location="'ハーフアニバーサリー 感謝祭!ピックアップガシャ _設計書'!A1" ref="B6"/>
    <hyperlink display="ハーフアニバーサリー 感謝祭！記念ステップアップガシャ _設計書" location="'ハーフアニバーサリー 感謝祭!記念ステップアップガシャ _設計'!A1" ref="B7"/>
    <hyperlink display="ありがとうメダルガシャ_設計書" location="'ありがとうメダルガシャ_設計書'!A1" ref="B8"/>
    <hyperlink display="前半パック_設計書" location="'前半パック_設計書'!A1" ref="B11"/>
    <hyperlink display="後半パック_設計書" location="'後半パック_設計書'!A1" ref="B12"/>
    <hyperlink display="07_いいジャン祭パック_設計書" location="'07_いいジャン祭パック_設計書'!A1" ref="B13"/>
    <hyperlink display="3~4月追加の課金施策_設計書" location="'3~4月追加の課金施策_設計書'!A1" ref="B14"/>
    <hyperlink r:id="rId1" location="gid=1159724316&amp;range=A36" ref="B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3.88"/>
    <col customWidth="1" min="3" max="3" width="16.0"/>
    <col customWidth="1" min="14" max="16" width="3.38"/>
  </cols>
  <sheetData>
    <row r="1">
      <c r="B1" s="10" t="s">
        <v>36</v>
      </c>
      <c r="K1" s="11" t="s">
        <v>37</v>
      </c>
      <c r="L1" s="11" t="s">
        <v>38</v>
      </c>
      <c r="M1" s="11" t="s">
        <v>39</v>
      </c>
    </row>
    <row r="2">
      <c r="B2" s="10" t="s">
        <v>40</v>
      </c>
      <c r="K2" s="12" t="s">
        <v>41</v>
      </c>
      <c r="L2" s="13"/>
      <c r="M2" s="14" t="s">
        <v>42</v>
      </c>
    </row>
    <row r="3">
      <c r="A3" s="1"/>
      <c r="B3" s="15" t="s">
        <v>43</v>
      </c>
      <c r="C3" s="5"/>
      <c r="D3" s="5"/>
      <c r="E3" s="5"/>
      <c r="F3" s="5"/>
      <c r="G3" s="5"/>
      <c r="H3" s="5"/>
      <c r="I3" s="5"/>
      <c r="J3" s="5"/>
      <c r="K3" s="7" t="s">
        <v>44</v>
      </c>
      <c r="L3" s="1"/>
      <c r="M3" s="1"/>
    </row>
    <row r="4">
      <c r="A4" s="1"/>
      <c r="B4" s="16" t="s">
        <v>45</v>
      </c>
      <c r="C4" s="17"/>
      <c r="D4" s="17"/>
      <c r="E4" s="17"/>
      <c r="F4" s="17"/>
      <c r="G4" s="17"/>
      <c r="H4" s="17"/>
      <c r="I4" s="17"/>
      <c r="J4" s="17"/>
      <c r="K4" s="1"/>
      <c r="L4" s="1"/>
      <c r="M4" s="1"/>
    </row>
    <row r="5">
      <c r="A5" s="1"/>
      <c r="B5" s="16" t="s">
        <v>46</v>
      </c>
      <c r="C5" s="17"/>
      <c r="D5" s="17"/>
      <c r="E5" s="17"/>
      <c r="F5" s="17"/>
      <c r="G5" s="17"/>
      <c r="H5" s="17"/>
      <c r="I5" s="17"/>
      <c r="J5" s="17"/>
      <c r="K5" s="1"/>
      <c r="L5" s="1"/>
      <c r="M5" s="1"/>
    </row>
    <row r="6">
      <c r="A6" s="1"/>
      <c r="B6" s="18" t="s">
        <v>47</v>
      </c>
      <c r="C6" s="19"/>
      <c r="D6" s="17"/>
      <c r="E6" s="17"/>
      <c r="F6" s="17"/>
      <c r="G6" s="17"/>
      <c r="H6" s="17"/>
      <c r="I6" s="17"/>
      <c r="J6" s="17"/>
      <c r="K6" s="1"/>
      <c r="L6" s="1"/>
      <c r="M6" s="1"/>
    </row>
    <row r="7">
      <c r="A7" s="1"/>
      <c r="B7" s="20" t="s">
        <v>48</v>
      </c>
      <c r="C7" s="21" t="s">
        <v>49</v>
      </c>
      <c r="D7" s="22"/>
      <c r="E7" s="17"/>
      <c r="F7" s="17"/>
      <c r="G7" s="17"/>
      <c r="H7" s="17"/>
      <c r="I7" s="17"/>
      <c r="J7" s="17"/>
      <c r="K7" s="1"/>
      <c r="L7" s="1"/>
      <c r="M7" s="1"/>
    </row>
    <row r="8">
      <c r="A8" s="1"/>
      <c r="B8" s="20" t="s">
        <v>50</v>
      </c>
      <c r="C8" s="23">
        <v>45922.5</v>
      </c>
      <c r="D8" s="24" t="s">
        <v>51</v>
      </c>
      <c r="E8" s="21" t="s">
        <v>52</v>
      </c>
      <c r="F8" s="17"/>
      <c r="G8" s="17"/>
      <c r="H8" s="17"/>
      <c r="I8" s="17"/>
      <c r="J8" s="17"/>
      <c r="K8" s="1"/>
      <c r="L8" s="1"/>
      <c r="M8" s="1"/>
    </row>
    <row r="9">
      <c r="A9" s="1"/>
      <c r="B9" s="25"/>
      <c r="C9" s="26" t="s">
        <v>53</v>
      </c>
      <c r="D9" s="26" t="s">
        <v>54</v>
      </c>
      <c r="E9" s="27" t="s">
        <v>55</v>
      </c>
      <c r="F9" s="28"/>
      <c r="G9" s="29" t="s">
        <v>56</v>
      </c>
      <c r="H9" s="30"/>
      <c r="I9" s="30"/>
      <c r="J9" s="31"/>
      <c r="K9" s="1"/>
      <c r="L9" s="1"/>
      <c r="M9" s="1"/>
    </row>
    <row r="10">
      <c r="A10" s="1"/>
      <c r="B10" s="32" t="s">
        <v>57</v>
      </c>
      <c r="C10" s="33" t="s">
        <v>58</v>
      </c>
      <c r="D10" s="33" t="s">
        <v>58</v>
      </c>
      <c r="E10" s="33" t="s">
        <v>59</v>
      </c>
      <c r="F10" s="33" t="s">
        <v>60</v>
      </c>
      <c r="G10" s="33" t="s">
        <v>58</v>
      </c>
      <c r="H10" s="33" t="s">
        <v>61</v>
      </c>
      <c r="I10" s="33" t="s">
        <v>62</v>
      </c>
      <c r="J10" s="32" t="s">
        <v>63</v>
      </c>
      <c r="K10" s="1"/>
      <c r="L10" s="1"/>
      <c r="M10" s="1"/>
    </row>
    <row r="11">
      <c r="A11" s="1"/>
      <c r="B11" s="34">
        <v>1.0</v>
      </c>
      <c r="C11" s="35">
        <v>2.0</v>
      </c>
      <c r="D11" s="36">
        <f t="shared" ref="D11:D17" si="1">C11/B11</f>
        <v>2</v>
      </c>
      <c r="E11" s="37"/>
      <c r="F11" s="37"/>
      <c r="G11" s="36">
        <f t="shared" ref="G11:G17" si="2">D11*150</f>
        <v>300</v>
      </c>
      <c r="H11" s="38"/>
      <c r="I11" s="37"/>
      <c r="J11" s="39"/>
      <c r="K11" s="1"/>
      <c r="L11" s="1"/>
      <c r="M11" s="1"/>
    </row>
    <row r="12">
      <c r="A12" s="1"/>
      <c r="B12" s="34">
        <v>80.0</v>
      </c>
      <c r="C12" s="35">
        <v>160.0</v>
      </c>
      <c r="D12" s="36">
        <f t="shared" si="1"/>
        <v>2</v>
      </c>
      <c r="E12" s="37"/>
      <c r="F12" s="37"/>
      <c r="G12" s="36">
        <f t="shared" si="2"/>
        <v>300</v>
      </c>
      <c r="H12" s="40">
        <f t="shared" ref="H12:H17" si="3">G12-G11</f>
        <v>0</v>
      </c>
      <c r="I12" s="41">
        <f t="shared" ref="I12:I14" si="4">100%-(G12/G11)</f>
        <v>0</v>
      </c>
      <c r="J12" s="42" t="s">
        <v>49</v>
      </c>
      <c r="K12" s="1"/>
      <c r="L12" s="1"/>
      <c r="M12" s="1"/>
    </row>
    <row r="13">
      <c r="A13" s="1"/>
      <c r="B13" s="34">
        <v>240.0</v>
      </c>
      <c r="C13" s="35">
        <v>480.0</v>
      </c>
      <c r="D13" s="36">
        <f t="shared" si="1"/>
        <v>2</v>
      </c>
      <c r="E13" s="37"/>
      <c r="F13" s="37"/>
      <c r="G13" s="36">
        <f t="shared" si="2"/>
        <v>300</v>
      </c>
      <c r="H13" s="40">
        <f t="shared" si="3"/>
        <v>0</v>
      </c>
      <c r="I13" s="41">
        <f t="shared" si="4"/>
        <v>0</v>
      </c>
      <c r="J13" s="42" t="s">
        <v>49</v>
      </c>
      <c r="K13" s="1"/>
      <c r="L13" s="1"/>
      <c r="M13" s="1"/>
    </row>
    <row r="14">
      <c r="A14" s="1"/>
      <c r="B14" s="34">
        <v>510.0</v>
      </c>
      <c r="C14" s="35">
        <v>1000.0</v>
      </c>
      <c r="D14" s="36">
        <f t="shared" si="1"/>
        <v>1.960784314</v>
      </c>
      <c r="E14" s="37"/>
      <c r="F14" s="37"/>
      <c r="G14" s="36">
        <f t="shared" si="2"/>
        <v>294.1176471</v>
      </c>
      <c r="H14" s="43">
        <f t="shared" si="3"/>
        <v>-5.882352941</v>
      </c>
      <c r="I14" s="41">
        <f t="shared" si="4"/>
        <v>0.01960784314</v>
      </c>
      <c r="J14" s="42" t="s">
        <v>49</v>
      </c>
      <c r="K14" s="1"/>
      <c r="L14" s="1"/>
      <c r="M14" s="1"/>
    </row>
    <row r="15">
      <c r="A15" s="1"/>
      <c r="B15" s="34">
        <v>1560.0</v>
      </c>
      <c r="C15" s="35">
        <v>3000.0</v>
      </c>
      <c r="D15" s="36">
        <f t="shared" si="1"/>
        <v>1.923076923</v>
      </c>
      <c r="E15" s="37"/>
      <c r="F15" s="37"/>
      <c r="G15" s="36">
        <f t="shared" si="2"/>
        <v>288.4615385</v>
      </c>
      <c r="H15" s="43">
        <f t="shared" si="3"/>
        <v>-5.656108597</v>
      </c>
      <c r="I15" s="41">
        <f>100%-(G15/G11)</f>
        <v>0.03846153846</v>
      </c>
      <c r="J15" s="42" t="s">
        <v>49</v>
      </c>
      <c r="K15" s="1"/>
      <c r="L15" s="1"/>
      <c r="M15" s="1"/>
    </row>
    <row r="16">
      <c r="A16" s="1"/>
      <c r="B16" s="34">
        <v>2600.0</v>
      </c>
      <c r="C16" s="35">
        <v>4900.0</v>
      </c>
      <c r="D16" s="36">
        <f t="shared" si="1"/>
        <v>1.884615385</v>
      </c>
      <c r="E16" s="37"/>
      <c r="F16" s="37"/>
      <c r="G16" s="36">
        <f t="shared" si="2"/>
        <v>282.6923077</v>
      </c>
      <c r="H16" s="43">
        <f t="shared" si="3"/>
        <v>-5.769230769</v>
      </c>
      <c r="I16" s="41">
        <f>100%-(G16/G11)</f>
        <v>0.05769230769</v>
      </c>
      <c r="J16" s="42" t="s">
        <v>49</v>
      </c>
      <c r="K16" s="1"/>
      <c r="L16" s="1"/>
      <c r="M16" s="1"/>
    </row>
    <row r="17">
      <c r="A17" s="1"/>
      <c r="B17" s="34">
        <v>5400.0</v>
      </c>
      <c r="C17" s="35">
        <v>10000.0</v>
      </c>
      <c r="D17" s="36">
        <f t="shared" si="1"/>
        <v>1.851851852</v>
      </c>
      <c r="E17" s="37"/>
      <c r="F17" s="37"/>
      <c r="G17" s="36">
        <f t="shared" si="2"/>
        <v>277.7777778</v>
      </c>
      <c r="H17" s="43">
        <f t="shared" si="3"/>
        <v>-4.914529915</v>
      </c>
      <c r="I17" s="41">
        <f>100%-(G17/G11)</f>
        <v>0.07407407407</v>
      </c>
      <c r="J17" s="42" t="s">
        <v>49</v>
      </c>
      <c r="K17" s="1"/>
      <c r="L17" s="1"/>
      <c r="M17" s="1"/>
    </row>
    <row r="18">
      <c r="A18" s="1"/>
      <c r="B18" s="44" t="s">
        <v>64</v>
      </c>
      <c r="C18" s="1"/>
      <c r="D18" s="1"/>
      <c r="E18" s="1"/>
      <c r="F18" s="1"/>
      <c r="G18" s="1"/>
      <c r="H18" s="1"/>
      <c r="I18" s="1"/>
      <c r="J18" s="1"/>
      <c r="K18" s="1"/>
      <c r="L18" s="1"/>
      <c r="M18" s="1"/>
    </row>
    <row r="19">
      <c r="A19" s="1"/>
      <c r="C19" s="1"/>
      <c r="D19" s="1"/>
      <c r="E19" s="1"/>
      <c r="F19" s="1"/>
      <c r="G19" s="1"/>
      <c r="H19" s="1"/>
      <c r="I19" s="1"/>
      <c r="J19" s="1"/>
      <c r="K19" s="1"/>
      <c r="L19" s="1"/>
      <c r="M19" s="1"/>
    </row>
    <row r="20">
      <c r="A20" s="1"/>
      <c r="B20" s="45" t="s">
        <v>65</v>
      </c>
      <c r="C20" s="5"/>
      <c r="D20" s="5"/>
      <c r="E20" s="5"/>
      <c r="F20" s="5"/>
      <c r="G20" s="5"/>
      <c r="H20" s="5"/>
      <c r="I20" s="5"/>
      <c r="J20" s="5"/>
      <c r="K20" s="1"/>
      <c r="L20" s="1"/>
      <c r="M20" s="1"/>
      <c r="N20" s="1"/>
      <c r="O20" s="1"/>
      <c r="P20" s="1"/>
    </row>
    <row r="21">
      <c r="A21" s="1"/>
      <c r="B21" s="46" t="s">
        <v>48</v>
      </c>
      <c r="C21" s="47">
        <v>2.0</v>
      </c>
      <c r="D21" s="48"/>
      <c r="E21" s="1"/>
      <c r="F21" s="1"/>
      <c r="G21" s="1"/>
      <c r="H21" s="1"/>
      <c r="I21" s="1"/>
      <c r="J21" s="1"/>
      <c r="K21" s="1"/>
      <c r="L21" s="1"/>
      <c r="M21" s="1"/>
      <c r="N21" s="1"/>
      <c r="O21" s="1"/>
      <c r="P21" s="1"/>
    </row>
    <row r="22">
      <c r="A22" s="1"/>
      <c r="B22" s="46" t="s">
        <v>50</v>
      </c>
      <c r="C22" s="49">
        <v>46097.5</v>
      </c>
      <c r="D22" s="50" t="s">
        <v>51</v>
      </c>
      <c r="E22" s="51">
        <v>46111.45832175926</v>
      </c>
      <c r="F22" s="1"/>
      <c r="G22" s="1"/>
      <c r="H22" s="1"/>
      <c r="I22" s="1"/>
      <c r="J22" s="1"/>
      <c r="K22" s="1"/>
      <c r="L22" s="1"/>
      <c r="M22" s="1"/>
      <c r="N22" s="1"/>
      <c r="O22" s="1"/>
      <c r="P22" s="1"/>
    </row>
    <row r="23">
      <c r="A23" s="1"/>
      <c r="B23" s="52"/>
      <c r="C23" s="53" t="s">
        <v>53</v>
      </c>
      <c r="D23" s="53" t="s">
        <v>54</v>
      </c>
      <c r="E23" s="54" t="s">
        <v>55</v>
      </c>
      <c r="F23" s="28"/>
      <c r="G23" s="53" t="s">
        <v>56</v>
      </c>
      <c r="H23" s="55"/>
      <c r="I23" s="55"/>
      <c r="J23" s="52"/>
      <c r="K23" s="1"/>
      <c r="L23" s="1"/>
      <c r="M23" s="1"/>
      <c r="N23" s="1"/>
      <c r="O23" s="1"/>
      <c r="P23" s="1"/>
    </row>
    <row r="24">
      <c r="A24" s="1"/>
      <c r="B24" s="56" t="s">
        <v>57</v>
      </c>
      <c r="C24" s="57" t="s">
        <v>58</v>
      </c>
      <c r="D24" s="57" t="s">
        <v>58</v>
      </c>
      <c r="E24" s="57" t="s">
        <v>59</v>
      </c>
      <c r="F24" s="57" t="s">
        <v>60</v>
      </c>
      <c r="G24" s="57" t="s">
        <v>58</v>
      </c>
      <c r="H24" s="57" t="s">
        <v>61</v>
      </c>
      <c r="I24" s="57" t="s">
        <v>62</v>
      </c>
      <c r="J24" s="56" t="s">
        <v>63</v>
      </c>
      <c r="K24" s="1"/>
      <c r="L24" s="1"/>
      <c r="M24" s="1"/>
      <c r="N24" s="1"/>
      <c r="O24" s="1"/>
      <c r="P24" s="1"/>
    </row>
    <row r="25">
      <c r="A25" s="1"/>
      <c r="B25" s="34">
        <v>1.0</v>
      </c>
      <c r="C25" s="35">
        <v>2.0</v>
      </c>
      <c r="D25" s="36">
        <f t="shared" ref="D25:D29" si="5">C25/B25</f>
        <v>2</v>
      </c>
      <c r="E25" s="37"/>
      <c r="F25" s="37"/>
      <c r="G25" s="36">
        <f t="shared" ref="G25:G29" si="6">D25*150</f>
        <v>300</v>
      </c>
      <c r="H25" s="38"/>
      <c r="I25" s="37"/>
      <c r="J25" s="39"/>
      <c r="K25" s="1"/>
      <c r="L25" s="1"/>
      <c r="M25" s="1"/>
      <c r="N25" s="1"/>
      <c r="O25" s="1"/>
      <c r="P25" s="1"/>
    </row>
    <row r="26">
      <c r="A26" s="1"/>
      <c r="B26" s="58">
        <v>300.0</v>
      </c>
      <c r="C26" s="59">
        <v>480.0</v>
      </c>
      <c r="D26" s="60">
        <f t="shared" si="5"/>
        <v>1.6</v>
      </c>
      <c r="E26" s="37"/>
      <c r="F26" s="37"/>
      <c r="G26" s="61">
        <f t="shared" si="6"/>
        <v>240</v>
      </c>
      <c r="H26" s="62">
        <f t="shared" ref="H26:H27" si="7">G26-G25</f>
        <v>-60</v>
      </c>
      <c r="I26" s="63">
        <f t="shared" ref="I26:I27" si="8">100%-(G26/G25)</f>
        <v>0.2</v>
      </c>
      <c r="J26" s="64">
        <v>2.0</v>
      </c>
      <c r="K26" s="1"/>
      <c r="L26" s="1"/>
      <c r="M26" s="1"/>
      <c r="N26" s="1"/>
      <c r="O26" s="1"/>
      <c r="P26" s="1"/>
    </row>
    <row r="27">
      <c r="A27" s="1"/>
      <c r="B27" s="58">
        <v>1500.0</v>
      </c>
      <c r="C27" s="65">
        <v>1980.0</v>
      </c>
      <c r="D27" s="60">
        <f t="shared" si="5"/>
        <v>1.32</v>
      </c>
      <c r="E27" s="37"/>
      <c r="F27" s="37"/>
      <c r="G27" s="60">
        <f t="shared" si="6"/>
        <v>198</v>
      </c>
      <c r="H27" s="62">
        <f t="shared" si="7"/>
        <v>-42</v>
      </c>
      <c r="I27" s="63">
        <f t="shared" si="8"/>
        <v>0.175</v>
      </c>
      <c r="J27" s="64">
        <v>2.0</v>
      </c>
      <c r="K27" s="1"/>
      <c r="L27" s="1"/>
      <c r="M27" s="1"/>
      <c r="N27" s="1"/>
      <c r="O27" s="1"/>
      <c r="P27" s="1"/>
    </row>
    <row r="28">
      <c r="A28" s="1"/>
      <c r="B28" s="58">
        <v>4000.0</v>
      </c>
      <c r="C28" s="65">
        <v>4980.0</v>
      </c>
      <c r="D28" s="60">
        <f t="shared" si="5"/>
        <v>1.245</v>
      </c>
      <c r="E28" s="37"/>
      <c r="F28" s="37"/>
      <c r="G28" s="60">
        <f t="shared" si="6"/>
        <v>186.75</v>
      </c>
      <c r="H28" s="62">
        <f>G28-G25</f>
        <v>-113.25</v>
      </c>
      <c r="I28" s="63">
        <f>100%-(G28/G25)</f>
        <v>0.3775</v>
      </c>
      <c r="J28" s="64">
        <v>2.0</v>
      </c>
      <c r="K28" s="1"/>
      <c r="L28" s="1"/>
      <c r="M28" s="1"/>
      <c r="N28" s="1"/>
      <c r="O28" s="1"/>
      <c r="P28" s="1"/>
    </row>
    <row r="29">
      <c r="A29" s="1"/>
      <c r="B29" s="58">
        <v>11200.0</v>
      </c>
      <c r="C29" s="66">
        <v>10000.0</v>
      </c>
      <c r="D29" s="60">
        <f t="shared" si="5"/>
        <v>0.8928571429</v>
      </c>
      <c r="E29" s="37"/>
      <c r="F29" s="37"/>
      <c r="G29" s="67">
        <f t="shared" si="6"/>
        <v>133.9285714</v>
      </c>
      <c r="H29" s="62">
        <f>G29-G28</f>
        <v>-52.82142857</v>
      </c>
      <c r="I29" s="63">
        <f>100%-(G29/G25)</f>
        <v>0.5535714286</v>
      </c>
      <c r="J29" s="64">
        <v>2.0</v>
      </c>
      <c r="K29" s="1"/>
      <c r="L29" s="1"/>
      <c r="M29" s="1"/>
      <c r="N29" s="1"/>
      <c r="O29" s="1"/>
      <c r="P29" s="1"/>
    </row>
    <row r="30">
      <c r="A30" s="1"/>
      <c r="B30" s="68"/>
      <c r="C30" s="1"/>
      <c r="D30" s="1"/>
      <c r="E30" s="7" t="s">
        <v>66</v>
      </c>
      <c r="F30" s="7" t="s">
        <v>67</v>
      </c>
      <c r="G30" s="7" t="s">
        <v>68</v>
      </c>
      <c r="H30" s="7" t="s">
        <v>69</v>
      </c>
      <c r="I30" s="1"/>
      <c r="J30" s="1"/>
      <c r="L30" s="1"/>
      <c r="M30" s="1"/>
      <c r="N30" s="1"/>
      <c r="O30" s="1"/>
      <c r="P30" s="1"/>
    </row>
    <row r="31">
      <c r="A31" s="1"/>
      <c r="B31" s="69"/>
      <c r="C31" s="1"/>
      <c r="D31" s="1"/>
      <c r="E31" s="7">
        <v>17000.0</v>
      </c>
      <c r="F31" s="10">
        <v>34000.0</v>
      </c>
      <c r="G31" s="1">
        <f>200*150</f>
        <v>30000</v>
      </c>
      <c r="H31" s="1">
        <f>80*150</f>
        <v>12000</v>
      </c>
      <c r="I31" s="1"/>
      <c r="J31" s="1"/>
      <c r="K31" s="1"/>
      <c r="L31" s="1"/>
      <c r="M31" s="1"/>
      <c r="N31" s="1"/>
      <c r="O31" s="1"/>
      <c r="P31" s="1"/>
    </row>
    <row r="32">
      <c r="A32" s="1"/>
      <c r="B32" s="1"/>
      <c r="C32" s="1"/>
      <c r="D32" s="1"/>
      <c r="E32" s="1"/>
      <c r="F32" s="1"/>
      <c r="G32" s="1"/>
      <c r="H32" s="1"/>
      <c r="I32" s="1"/>
      <c r="J32" s="1"/>
      <c r="K32" s="1"/>
      <c r="L32" s="1"/>
      <c r="M32" s="1"/>
      <c r="N32" s="1"/>
      <c r="O32" s="1"/>
      <c r="P32" s="1"/>
    </row>
    <row r="33">
      <c r="A33" s="1"/>
      <c r="B33" s="70" t="s">
        <v>70</v>
      </c>
      <c r="C33" s="5"/>
      <c r="D33" s="5"/>
      <c r="E33" s="5"/>
      <c r="F33" s="5"/>
      <c r="G33" s="5"/>
      <c r="H33" s="5"/>
      <c r="I33" s="5"/>
      <c r="J33" s="5"/>
      <c r="K33" s="1"/>
      <c r="L33" s="1"/>
      <c r="M33" s="1"/>
      <c r="N33" s="1"/>
      <c r="O33" s="1"/>
      <c r="P33" s="1"/>
    </row>
    <row r="34">
      <c r="A34" s="1"/>
      <c r="B34" s="71" t="s">
        <v>71</v>
      </c>
      <c r="C34" s="1"/>
      <c r="D34" s="1"/>
      <c r="E34" s="1"/>
      <c r="F34" s="1"/>
      <c r="G34" s="1"/>
      <c r="H34" s="1"/>
      <c r="I34" s="1"/>
      <c r="J34" s="1"/>
      <c r="K34" s="1"/>
      <c r="L34" s="1"/>
      <c r="M34" s="1"/>
      <c r="N34" s="1"/>
      <c r="O34" s="1"/>
      <c r="P34" s="1"/>
    </row>
    <row r="35">
      <c r="A35" s="1"/>
      <c r="B35" s="72" t="s">
        <v>72</v>
      </c>
      <c r="C35" s="73" t="s">
        <v>73</v>
      </c>
      <c r="D35" s="1"/>
      <c r="E35" s="1"/>
      <c r="F35" s="1"/>
      <c r="G35" s="1"/>
      <c r="H35" s="1"/>
      <c r="I35" s="1"/>
      <c r="J35" s="1"/>
      <c r="K35" s="1"/>
      <c r="L35" s="1"/>
      <c r="M35" s="1"/>
      <c r="N35" s="1"/>
      <c r="O35" s="1"/>
      <c r="P35" s="1"/>
    </row>
    <row r="36">
      <c r="A36" s="1"/>
      <c r="B36" s="74" t="s">
        <v>74</v>
      </c>
      <c r="C36" s="73">
        <v>103.0</v>
      </c>
      <c r="D36" s="1"/>
      <c r="E36" s="1"/>
      <c r="F36" s="1"/>
      <c r="G36" s="1"/>
      <c r="H36" s="1"/>
      <c r="I36" s="1"/>
      <c r="J36" s="1"/>
      <c r="K36" s="1"/>
      <c r="L36" s="1"/>
      <c r="M36" s="1"/>
      <c r="N36" s="1"/>
      <c r="O36" s="1"/>
      <c r="P36" s="1"/>
    </row>
    <row r="37">
      <c r="A37" s="1"/>
      <c r="B37" s="72" t="s">
        <v>75</v>
      </c>
      <c r="C37" s="75" t="s">
        <v>76</v>
      </c>
      <c r="D37" s="1"/>
      <c r="E37" s="1"/>
      <c r="F37" s="1"/>
      <c r="G37" s="1"/>
      <c r="H37" s="1"/>
      <c r="I37" s="1"/>
      <c r="J37" s="1"/>
      <c r="K37" s="1"/>
      <c r="L37" s="1"/>
      <c r="M37" s="1"/>
      <c r="N37" s="1"/>
      <c r="O37" s="1"/>
      <c r="P37" s="1"/>
    </row>
    <row r="38">
      <c r="A38" s="1"/>
      <c r="B38" s="72" t="s">
        <v>77</v>
      </c>
      <c r="C38" s="75" t="s">
        <v>78</v>
      </c>
      <c r="D38" s="1"/>
      <c r="E38" s="1"/>
      <c r="F38" s="1"/>
      <c r="G38" s="1"/>
      <c r="H38" s="1"/>
      <c r="I38" s="1"/>
      <c r="J38" s="1"/>
      <c r="K38" s="1"/>
      <c r="L38" s="1"/>
      <c r="M38" s="1"/>
      <c r="N38" s="1"/>
      <c r="O38" s="1"/>
      <c r="P38" s="1"/>
    </row>
    <row r="39">
      <c r="A39" s="1"/>
      <c r="B39" s="72" t="s">
        <v>79</v>
      </c>
      <c r="C39" s="76">
        <f>I48</f>
        <v>756</v>
      </c>
      <c r="D39" s="1"/>
      <c r="E39" s="1"/>
      <c r="F39" s="1"/>
      <c r="G39" s="1"/>
      <c r="H39" s="1"/>
      <c r="I39" s="1"/>
      <c r="J39" s="1"/>
      <c r="K39" s="1"/>
      <c r="L39" s="1"/>
      <c r="M39" s="1"/>
      <c r="N39" s="1"/>
      <c r="O39" s="1"/>
      <c r="P39" s="1"/>
    </row>
    <row r="40">
      <c r="A40" s="1"/>
      <c r="B40" s="72" t="s">
        <v>80</v>
      </c>
      <c r="C40" s="76">
        <f>C39/1.1</f>
        <v>687.2727273</v>
      </c>
      <c r="D40" s="1"/>
      <c r="E40" s="1"/>
      <c r="F40" s="1"/>
      <c r="G40" s="1"/>
      <c r="H40" s="1"/>
      <c r="I40" s="1"/>
      <c r="J40" s="1"/>
      <c r="K40" s="1"/>
      <c r="L40" s="1"/>
      <c r="M40" s="1"/>
      <c r="N40" s="1"/>
      <c r="O40" s="1"/>
      <c r="P40" s="1"/>
    </row>
    <row r="41">
      <c r="A41" s="1"/>
      <c r="B41" s="72" t="s">
        <v>81</v>
      </c>
      <c r="C41" s="77">
        <v>300.0</v>
      </c>
      <c r="D41" s="46" t="s">
        <v>82</v>
      </c>
      <c r="E41" s="78">
        <f>1-(C41/C39)</f>
        <v>0.6031746032</v>
      </c>
      <c r="F41" s="1"/>
      <c r="G41" s="1"/>
      <c r="H41" s="1"/>
      <c r="I41" s="1"/>
      <c r="J41" s="1"/>
      <c r="K41" s="1"/>
      <c r="L41" s="1"/>
      <c r="M41" s="1"/>
      <c r="N41" s="1"/>
      <c r="O41" s="1"/>
      <c r="P41" s="1"/>
    </row>
    <row r="42">
      <c r="A42" s="1"/>
      <c r="B42" s="72" t="s">
        <v>83</v>
      </c>
      <c r="C42" s="76">
        <f>C41/1.1</f>
        <v>272.7272727</v>
      </c>
      <c r="D42" s="48"/>
      <c r="E42" s="1"/>
      <c r="F42" s="1"/>
      <c r="G42" s="1"/>
      <c r="H42" s="1"/>
      <c r="I42" s="1"/>
      <c r="J42" s="1"/>
      <c r="K42" s="1"/>
      <c r="L42" s="1"/>
      <c r="M42" s="1"/>
      <c r="N42" s="1"/>
      <c r="O42" s="1"/>
      <c r="P42" s="1"/>
    </row>
    <row r="43">
      <c r="A43" s="1"/>
      <c r="B43" s="72" t="s">
        <v>48</v>
      </c>
      <c r="C43" s="79">
        <v>10.0</v>
      </c>
      <c r="D43" s="48"/>
      <c r="E43" s="1"/>
      <c r="F43" s="1"/>
      <c r="G43" s="1"/>
      <c r="H43" s="1"/>
      <c r="I43" s="1"/>
      <c r="J43" s="1"/>
      <c r="K43" s="1"/>
      <c r="L43" s="1"/>
      <c r="M43" s="1"/>
      <c r="N43" s="1"/>
      <c r="O43" s="1"/>
      <c r="P43" s="1"/>
    </row>
    <row r="44">
      <c r="A44" s="1"/>
      <c r="B44" s="72" t="s">
        <v>50</v>
      </c>
      <c r="C44" s="49">
        <v>46097.5</v>
      </c>
      <c r="D44" s="50" t="s">
        <v>51</v>
      </c>
      <c r="E44" s="51">
        <v>46111.45832175926</v>
      </c>
      <c r="F44" s="1"/>
      <c r="G44" s="1"/>
      <c r="H44" s="1"/>
      <c r="I44" s="1"/>
      <c r="J44" s="1"/>
      <c r="K44" s="1"/>
      <c r="L44" s="1"/>
      <c r="M44" s="1"/>
      <c r="N44" s="1"/>
      <c r="O44" s="1"/>
      <c r="P44" s="1"/>
    </row>
    <row r="45">
      <c r="A45" s="1"/>
      <c r="B45" s="68"/>
      <c r="C45" s="80"/>
      <c r="D45" s="1"/>
      <c r="E45" s="1"/>
      <c r="F45" s="1"/>
      <c r="G45" s="1"/>
      <c r="H45" s="1"/>
      <c r="I45" s="1"/>
      <c r="J45" s="1"/>
      <c r="K45" s="1"/>
      <c r="L45" s="1"/>
      <c r="M45" s="1"/>
      <c r="N45" s="1"/>
      <c r="O45" s="1"/>
      <c r="P45" s="1"/>
    </row>
    <row r="46">
      <c r="A46" s="1"/>
      <c r="B46" s="72" t="s">
        <v>84</v>
      </c>
      <c r="C46" s="46" t="s">
        <v>85</v>
      </c>
      <c r="D46" s="46" t="s">
        <v>86</v>
      </c>
      <c r="E46" s="46" t="s">
        <v>57</v>
      </c>
      <c r="F46" s="46" t="s">
        <v>59</v>
      </c>
      <c r="G46" s="46" t="s">
        <v>87</v>
      </c>
      <c r="H46" s="81" t="s">
        <v>88</v>
      </c>
      <c r="I46" s="46" t="s">
        <v>89</v>
      </c>
      <c r="J46" s="46" t="s">
        <v>90</v>
      </c>
      <c r="K46" s="1"/>
      <c r="L46" s="1"/>
      <c r="M46" s="1"/>
      <c r="N46" s="1"/>
      <c r="O46" s="1"/>
      <c r="P46" s="1"/>
    </row>
    <row r="47">
      <c r="A47" s="1"/>
      <c r="B47" s="82" t="s">
        <v>91</v>
      </c>
      <c r="C47" s="83" t="s">
        <v>92</v>
      </c>
      <c r="D47" s="84" t="str">
        <f>if(C47="","","(無期限)")</f>
        <v>(無期限)</v>
      </c>
      <c r="E47" s="84">
        <f>F47</f>
        <v>10</v>
      </c>
      <c r="F47" s="85">
        <v>10.0</v>
      </c>
      <c r="G47" s="83">
        <v>0.0</v>
      </c>
      <c r="H47" s="86">
        <v>75.6</v>
      </c>
      <c r="I47" s="87">
        <f>H47*F47</f>
        <v>756</v>
      </c>
      <c r="J47" s="88">
        <f>G47*H47</f>
        <v>0</v>
      </c>
      <c r="K47" s="1"/>
      <c r="L47" s="1"/>
      <c r="M47" s="1"/>
      <c r="N47" s="1"/>
      <c r="O47" s="1"/>
      <c r="P47" s="1"/>
    </row>
    <row r="48">
      <c r="A48" s="1"/>
      <c r="B48" s="68"/>
      <c r="C48" s="1"/>
      <c r="D48" s="1"/>
      <c r="E48" s="1"/>
      <c r="F48" s="1"/>
      <c r="G48" s="89" t="s">
        <v>93</v>
      </c>
      <c r="H48" s="28"/>
      <c r="I48" s="59">
        <f t="shared" ref="I48:J48" si="9">SUM(I47)</f>
        <v>756</v>
      </c>
      <c r="J48" s="88">
        <f t="shared" si="9"/>
        <v>0</v>
      </c>
      <c r="K48" s="1"/>
      <c r="L48" s="1"/>
      <c r="M48" s="1"/>
      <c r="N48" s="1"/>
      <c r="O48" s="1"/>
      <c r="P48" s="1"/>
    </row>
    <row r="49">
      <c r="A49" s="1"/>
      <c r="B49" s="68"/>
      <c r="C49" s="1"/>
      <c r="D49" s="1"/>
      <c r="E49" s="1"/>
      <c r="F49" s="1"/>
      <c r="G49" s="89" t="s">
        <v>94</v>
      </c>
      <c r="H49" s="28"/>
      <c r="I49" s="90">
        <f>C41</f>
        <v>300</v>
      </c>
      <c r="J49" s="91" t="s">
        <v>95</v>
      </c>
      <c r="K49" s="1"/>
      <c r="L49" s="1"/>
      <c r="M49" s="1"/>
      <c r="N49" s="1"/>
      <c r="O49" s="1"/>
      <c r="P49" s="1"/>
    </row>
    <row r="50">
      <c r="A50" s="1"/>
      <c r="B50" s="68"/>
      <c r="C50" s="1"/>
      <c r="D50" s="1"/>
      <c r="E50" s="1"/>
      <c r="F50" s="1"/>
      <c r="G50" s="89" t="s">
        <v>96</v>
      </c>
      <c r="H50" s="28"/>
      <c r="I50" s="92">
        <f>iferror(1-(I49/I48),"")</f>
        <v>0.6031746032</v>
      </c>
      <c r="J50" s="93">
        <f>J48/I49</f>
        <v>0</v>
      </c>
      <c r="K50" s="1"/>
      <c r="L50" s="1"/>
      <c r="M50" s="1"/>
      <c r="N50" s="1"/>
      <c r="O50" s="1"/>
      <c r="P50" s="1"/>
    </row>
    <row r="51">
      <c r="A51" s="1"/>
      <c r="B51" s="68"/>
      <c r="C51" s="1"/>
      <c r="D51" s="1"/>
      <c r="E51" s="1"/>
      <c r="F51" s="1"/>
      <c r="G51" s="1"/>
      <c r="H51" s="1"/>
      <c r="I51" s="48"/>
      <c r="J51" s="94"/>
      <c r="K51" s="1"/>
      <c r="L51" s="1"/>
      <c r="M51" s="1"/>
      <c r="N51" s="1"/>
      <c r="O51" s="1"/>
      <c r="P51" s="1"/>
    </row>
    <row r="52">
      <c r="A52" s="1"/>
      <c r="B52" s="68"/>
      <c r="C52" s="1"/>
      <c r="D52" s="1"/>
      <c r="E52" s="1"/>
      <c r="F52" s="1"/>
      <c r="G52" s="1"/>
      <c r="H52" s="1"/>
      <c r="I52" s="48"/>
      <c r="J52" s="94"/>
      <c r="K52" s="1"/>
      <c r="L52" s="1"/>
      <c r="M52" s="1"/>
      <c r="N52" s="1"/>
      <c r="O52" s="1"/>
      <c r="P52" s="1"/>
    </row>
    <row r="53">
      <c r="A53" s="1"/>
      <c r="B53" s="15" t="s">
        <v>97</v>
      </c>
      <c r="C53" s="5"/>
      <c r="D53" s="5"/>
      <c r="E53" s="5"/>
      <c r="F53" s="5"/>
      <c r="G53" s="5"/>
      <c r="H53" s="5"/>
      <c r="I53" s="95"/>
      <c r="J53" s="96"/>
      <c r="K53" s="1"/>
      <c r="L53" s="1"/>
      <c r="M53" s="1"/>
      <c r="N53" s="1"/>
      <c r="O53" s="1"/>
      <c r="P53" s="1"/>
    </row>
    <row r="54">
      <c r="A54" s="1"/>
      <c r="B54" s="71" t="s">
        <v>71</v>
      </c>
      <c r="C54" s="1"/>
      <c r="D54" s="1"/>
      <c r="E54" s="1"/>
      <c r="F54" s="1"/>
      <c r="G54" s="1"/>
      <c r="H54" s="1"/>
      <c r="I54" s="48"/>
      <c r="J54" s="94"/>
      <c r="K54" s="1"/>
      <c r="L54" s="1"/>
      <c r="M54" s="1"/>
      <c r="N54" s="1"/>
      <c r="O54" s="1"/>
      <c r="P54" s="1"/>
    </row>
    <row r="55">
      <c r="A55" s="1"/>
      <c r="B55" s="72" t="s">
        <v>72</v>
      </c>
      <c r="C55" s="73" t="s">
        <v>98</v>
      </c>
      <c r="D55" s="1"/>
      <c r="E55" s="1"/>
      <c r="F55" s="1"/>
      <c r="G55" s="1"/>
      <c r="H55" s="1"/>
      <c r="I55" s="48"/>
      <c r="J55" s="94"/>
      <c r="K55" s="1"/>
      <c r="L55" s="1"/>
      <c r="M55" s="1"/>
      <c r="N55" s="1"/>
      <c r="O55" s="1"/>
      <c r="P55" s="1"/>
    </row>
    <row r="56">
      <c r="A56" s="1"/>
      <c r="B56" s="74" t="s">
        <v>74</v>
      </c>
      <c r="C56" s="73">
        <v>125.0</v>
      </c>
      <c r="D56" s="1"/>
      <c r="E56" s="1"/>
      <c r="F56" s="1"/>
      <c r="G56" s="1"/>
      <c r="H56" s="1"/>
      <c r="I56" s="48"/>
      <c r="J56" s="94"/>
      <c r="K56" s="1"/>
      <c r="L56" s="1"/>
      <c r="M56" s="1"/>
      <c r="N56" s="1"/>
      <c r="O56" s="1"/>
      <c r="P56" s="1"/>
    </row>
    <row r="57">
      <c r="A57" s="1"/>
      <c r="B57" s="72" t="s">
        <v>75</v>
      </c>
      <c r="C57" s="75" t="s">
        <v>99</v>
      </c>
      <c r="D57" s="1"/>
      <c r="E57" s="1"/>
      <c r="F57" s="1"/>
      <c r="G57" s="1"/>
      <c r="H57" s="1"/>
      <c r="I57" s="48"/>
      <c r="J57" s="94"/>
      <c r="K57" s="1"/>
      <c r="L57" s="1"/>
      <c r="M57" s="1"/>
      <c r="N57" s="1"/>
      <c r="O57" s="1"/>
      <c r="P57" s="1"/>
    </row>
    <row r="58">
      <c r="A58" s="1"/>
      <c r="B58" s="72" t="s">
        <v>77</v>
      </c>
      <c r="C58" s="75" t="s">
        <v>100</v>
      </c>
      <c r="D58" s="1"/>
      <c r="E58" s="1"/>
      <c r="F58" s="1"/>
      <c r="G58" s="1"/>
      <c r="H58" s="1"/>
      <c r="I58" s="48"/>
      <c r="J58" s="94"/>
      <c r="K58" s="1"/>
      <c r="L58" s="1"/>
      <c r="M58" s="1"/>
      <c r="N58" s="1"/>
      <c r="O58" s="1"/>
      <c r="P58" s="1"/>
    </row>
    <row r="59">
      <c r="A59" s="1"/>
      <c r="B59" s="72" t="s">
        <v>79</v>
      </c>
      <c r="C59" s="76">
        <f>I68</f>
        <v>3000</v>
      </c>
      <c r="D59" s="1"/>
      <c r="E59" s="1"/>
      <c r="F59" s="1"/>
      <c r="G59" s="1"/>
      <c r="H59" s="1"/>
      <c r="I59" s="48"/>
      <c r="J59" s="94"/>
      <c r="K59" s="1"/>
      <c r="L59" s="1"/>
      <c r="M59" s="1"/>
      <c r="N59" s="1"/>
      <c r="O59" s="1"/>
      <c r="P59" s="1"/>
    </row>
    <row r="60">
      <c r="A60" s="1"/>
      <c r="B60" s="72" t="s">
        <v>80</v>
      </c>
      <c r="C60" s="76">
        <f>C59/1.1</f>
        <v>2727.272727</v>
      </c>
      <c r="D60" s="1"/>
      <c r="E60" s="1"/>
      <c r="F60" s="1"/>
      <c r="G60" s="1"/>
      <c r="H60" s="1"/>
      <c r="I60" s="48"/>
      <c r="J60" s="94"/>
      <c r="K60" s="1"/>
      <c r="L60" s="1"/>
      <c r="M60" s="1"/>
      <c r="N60" s="1"/>
      <c r="O60" s="1"/>
      <c r="P60" s="1"/>
    </row>
    <row r="61">
      <c r="A61" s="1"/>
      <c r="B61" s="72" t="s">
        <v>81</v>
      </c>
      <c r="C61" s="77">
        <v>160.0</v>
      </c>
      <c r="D61" s="46" t="s">
        <v>82</v>
      </c>
      <c r="E61" s="78">
        <f>1-(C61/C59)</f>
        <v>0.9466666667</v>
      </c>
      <c r="F61" s="7" t="s">
        <v>101</v>
      </c>
      <c r="G61" s="1"/>
      <c r="H61" s="1"/>
      <c r="I61" s="48"/>
      <c r="J61" s="94"/>
      <c r="K61" s="1"/>
      <c r="L61" s="1"/>
      <c r="M61" s="1"/>
      <c r="N61" s="1"/>
      <c r="O61" s="1"/>
      <c r="P61" s="1"/>
    </row>
    <row r="62">
      <c r="A62" s="1"/>
      <c r="B62" s="72" t="s">
        <v>83</v>
      </c>
      <c r="C62" s="76">
        <f>C61/1.1</f>
        <v>145.4545455</v>
      </c>
      <c r="D62" s="48"/>
      <c r="E62" s="1"/>
      <c r="F62" s="1"/>
      <c r="G62" s="1"/>
      <c r="H62" s="1"/>
      <c r="I62" s="48"/>
      <c r="J62" s="94"/>
      <c r="K62" s="1"/>
      <c r="L62" s="1"/>
      <c r="M62" s="1"/>
      <c r="N62" s="1"/>
      <c r="O62" s="1"/>
      <c r="P62" s="1"/>
    </row>
    <row r="63">
      <c r="A63" s="1"/>
      <c r="B63" s="72" t="s">
        <v>48</v>
      </c>
      <c r="C63" s="97">
        <v>1.0</v>
      </c>
      <c r="D63" s="98" t="s">
        <v>102</v>
      </c>
      <c r="E63" s="1"/>
      <c r="F63" s="1"/>
      <c r="G63" s="1"/>
      <c r="H63" s="1"/>
      <c r="I63" s="48"/>
      <c r="J63" s="94"/>
      <c r="K63" s="1"/>
      <c r="L63" s="1"/>
      <c r="M63" s="1"/>
      <c r="N63" s="1"/>
      <c r="O63" s="1"/>
      <c r="P63" s="1"/>
    </row>
    <row r="64">
      <c r="A64" s="1"/>
      <c r="B64" s="72" t="s">
        <v>50</v>
      </c>
      <c r="C64" s="49">
        <v>46097.5</v>
      </c>
      <c r="D64" s="50" t="s">
        <v>51</v>
      </c>
      <c r="E64" s="51">
        <v>46125.45832175926</v>
      </c>
      <c r="F64" s="1"/>
      <c r="G64" s="1"/>
      <c r="H64" s="1"/>
      <c r="I64" s="48"/>
      <c r="J64" s="94"/>
      <c r="K64" s="1"/>
      <c r="L64" s="1"/>
      <c r="M64" s="1"/>
      <c r="N64" s="1"/>
      <c r="O64" s="1"/>
      <c r="P64" s="1"/>
    </row>
    <row r="65">
      <c r="A65" s="1"/>
      <c r="B65" s="68"/>
      <c r="C65" s="80"/>
      <c r="D65" s="1"/>
      <c r="E65" s="1"/>
      <c r="F65" s="1"/>
      <c r="G65" s="1"/>
      <c r="H65" s="1"/>
      <c r="I65" s="48"/>
      <c r="J65" s="94"/>
      <c r="K65" s="1"/>
      <c r="L65" s="1"/>
      <c r="M65" s="1"/>
      <c r="N65" s="1"/>
      <c r="O65" s="1"/>
      <c r="P65" s="1"/>
    </row>
    <row r="66">
      <c r="A66" s="1"/>
      <c r="B66" s="72" t="s">
        <v>84</v>
      </c>
      <c r="C66" s="46" t="s">
        <v>85</v>
      </c>
      <c r="D66" s="46" t="s">
        <v>86</v>
      </c>
      <c r="E66" s="46" t="s">
        <v>57</v>
      </c>
      <c r="F66" s="46" t="s">
        <v>59</v>
      </c>
      <c r="G66" s="46" t="s">
        <v>87</v>
      </c>
      <c r="H66" s="81" t="s">
        <v>88</v>
      </c>
      <c r="I66" s="81" t="s">
        <v>89</v>
      </c>
      <c r="J66" s="99" t="s">
        <v>90</v>
      </c>
      <c r="K66" s="1"/>
      <c r="L66" s="1"/>
      <c r="M66" s="1"/>
      <c r="N66" s="1"/>
      <c r="O66" s="1"/>
      <c r="P66" s="1"/>
    </row>
    <row r="67">
      <c r="A67" s="1"/>
      <c r="B67" s="100" t="s">
        <v>103</v>
      </c>
      <c r="C67" s="83" t="s">
        <v>92</v>
      </c>
      <c r="D67" s="84" t="str">
        <f>if(C67="","","(無期限)")</f>
        <v>(無期限)</v>
      </c>
      <c r="E67" s="84">
        <v>10.0</v>
      </c>
      <c r="F67" s="85">
        <v>10.0</v>
      </c>
      <c r="G67" s="83">
        <v>0.0</v>
      </c>
      <c r="H67" s="101">
        <v>300.0</v>
      </c>
      <c r="I67" s="87">
        <f>H67*F67</f>
        <v>3000</v>
      </c>
      <c r="J67" s="88">
        <f>G67*H67</f>
        <v>0</v>
      </c>
      <c r="K67" s="1"/>
      <c r="L67" s="1"/>
      <c r="M67" s="1"/>
      <c r="N67" s="1"/>
      <c r="O67" s="1"/>
      <c r="P67" s="1"/>
    </row>
    <row r="68">
      <c r="A68" s="1"/>
      <c r="B68" s="7" t="s">
        <v>104</v>
      </c>
      <c r="C68" s="1"/>
      <c r="D68" s="1"/>
      <c r="E68" s="1"/>
      <c r="F68" s="1"/>
      <c r="G68" s="89" t="s">
        <v>93</v>
      </c>
      <c r="H68" s="28"/>
      <c r="I68" s="59">
        <f t="shared" ref="I68:J68" si="10">SUM(I67)</f>
        <v>3000</v>
      </c>
      <c r="J68" s="88">
        <f t="shared" si="10"/>
        <v>0</v>
      </c>
      <c r="K68" s="1"/>
      <c r="L68" s="1"/>
      <c r="M68" s="1"/>
      <c r="N68" s="1"/>
      <c r="O68" s="1"/>
      <c r="P68" s="1"/>
    </row>
    <row r="69">
      <c r="A69" s="1"/>
      <c r="B69" s="68"/>
      <c r="C69" s="1"/>
      <c r="D69" s="1"/>
      <c r="E69" s="1"/>
      <c r="F69" s="1"/>
      <c r="G69" s="89" t="s">
        <v>94</v>
      </c>
      <c r="H69" s="28"/>
      <c r="I69" s="90">
        <v>160.0</v>
      </c>
      <c r="J69" s="91" t="s">
        <v>95</v>
      </c>
      <c r="K69" s="1"/>
      <c r="L69" s="1"/>
      <c r="M69" s="1"/>
      <c r="N69" s="1"/>
      <c r="O69" s="1"/>
      <c r="P69" s="1"/>
    </row>
    <row r="70">
      <c r="A70" s="1"/>
      <c r="B70" s="68"/>
      <c r="C70" s="1"/>
      <c r="D70" s="1"/>
      <c r="E70" s="1"/>
      <c r="F70" s="1"/>
      <c r="G70" s="89" t="s">
        <v>96</v>
      </c>
      <c r="H70" s="28"/>
      <c r="I70" s="92">
        <f>iferror(1-(I69/I68),"")</f>
        <v>0.9466666667</v>
      </c>
      <c r="J70" s="102">
        <f>J68/I69</f>
        <v>0</v>
      </c>
      <c r="K70" s="1"/>
      <c r="L70" s="1"/>
      <c r="M70" s="1"/>
      <c r="N70" s="1"/>
      <c r="O70" s="1"/>
      <c r="P70" s="1"/>
    </row>
    <row r="71">
      <c r="A71" s="1"/>
      <c r="B71" s="68"/>
      <c r="C71" s="1"/>
      <c r="D71" s="1"/>
      <c r="E71" s="1"/>
      <c r="F71" s="1"/>
      <c r="G71" s="1"/>
      <c r="H71" s="1"/>
      <c r="I71" s="48"/>
      <c r="J71" s="94"/>
      <c r="K71" s="1"/>
      <c r="L71" s="1"/>
      <c r="M71" s="1"/>
      <c r="N71" s="1"/>
      <c r="O71" s="1"/>
      <c r="P71" s="1"/>
    </row>
    <row r="72">
      <c r="A72" s="1"/>
      <c r="B72" s="68"/>
      <c r="C72" s="1"/>
      <c r="D72" s="1"/>
      <c r="E72" s="1"/>
      <c r="F72" s="1"/>
      <c r="G72" s="1"/>
      <c r="H72" s="1"/>
      <c r="I72" s="48"/>
      <c r="J72" s="94"/>
      <c r="K72" s="1"/>
      <c r="L72" s="1"/>
      <c r="M72" s="1"/>
      <c r="N72" s="1"/>
      <c r="O72" s="1"/>
      <c r="P72" s="1"/>
    </row>
    <row r="73">
      <c r="A73" s="1"/>
      <c r="B73" s="15" t="s">
        <v>105</v>
      </c>
      <c r="C73" s="5"/>
      <c r="D73" s="5"/>
      <c r="E73" s="5"/>
      <c r="F73" s="5"/>
      <c r="G73" s="5"/>
      <c r="H73" s="5"/>
      <c r="I73" s="103"/>
      <c r="J73" s="103"/>
      <c r="K73" s="1"/>
      <c r="L73" s="1"/>
      <c r="M73" s="1"/>
      <c r="N73" s="1"/>
      <c r="O73" s="1"/>
      <c r="P73" s="1"/>
    </row>
    <row r="74">
      <c r="A74" s="1"/>
      <c r="B74" s="104" t="s">
        <v>106</v>
      </c>
      <c r="C74" s="1"/>
      <c r="D74" s="105"/>
      <c r="E74" s="7" t="s">
        <v>107</v>
      </c>
      <c r="F74" s="1"/>
      <c r="G74" s="1"/>
      <c r="H74" s="1"/>
      <c r="I74" s="1"/>
      <c r="J74" s="1"/>
      <c r="K74" s="1"/>
      <c r="L74" s="1"/>
      <c r="M74" s="1"/>
      <c r="N74" s="1"/>
      <c r="O74" s="1"/>
      <c r="P74" s="1"/>
    </row>
    <row r="75">
      <c r="A75" s="1"/>
      <c r="B75" s="46" t="s">
        <v>72</v>
      </c>
      <c r="C75" s="73" t="s">
        <v>108</v>
      </c>
      <c r="D75" s="1"/>
      <c r="E75" s="1"/>
      <c r="F75" s="1"/>
      <c r="G75" s="1"/>
      <c r="H75" s="1"/>
      <c r="I75" s="1"/>
      <c r="J75" s="1"/>
      <c r="K75" s="1"/>
      <c r="L75" s="1"/>
      <c r="M75" s="1"/>
      <c r="N75" s="1"/>
      <c r="O75" s="1"/>
      <c r="P75" s="1"/>
    </row>
    <row r="76">
      <c r="A76" s="1"/>
      <c r="B76" s="74" t="s">
        <v>74</v>
      </c>
      <c r="C76" s="73">
        <v>104.0</v>
      </c>
      <c r="D76" s="1"/>
      <c r="E76" s="1"/>
      <c r="F76" s="1"/>
      <c r="G76" s="1"/>
      <c r="H76" s="1"/>
      <c r="I76" s="1"/>
      <c r="J76" s="1"/>
      <c r="K76" s="1"/>
      <c r="L76" s="1"/>
      <c r="M76" s="1"/>
      <c r="N76" s="1"/>
      <c r="O76" s="1"/>
      <c r="P76" s="1"/>
    </row>
    <row r="77">
      <c r="A77" s="1"/>
      <c r="B77" s="72" t="s">
        <v>75</v>
      </c>
      <c r="C77" s="75" t="s">
        <v>109</v>
      </c>
      <c r="D77" s="68"/>
      <c r="E77" s="1"/>
      <c r="F77" s="1"/>
      <c r="G77" s="1"/>
      <c r="H77" s="1"/>
      <c r="I77" s="1"/>
      <c r="J77" s="1"/>
      <c r="K77" s="1"/>
      <c r="L77" s="1"/>
      <c r="M77" s="1"/>
      <c r="N77" s="1"/>
      <c r="O77" s="1"/>
      <c r="P77" s="1"/>
    </row>
    <row r="78">
      <c r="A78" s="1"/>
      <c r="B78" s="72" t="s">
        <v>77</v>
      </c>
      <c r="C78" s="75" t="s">
        <v>110</v>
      </c>
      <c r="D78" s="1"/>
      <c r="E78" s="1"/>
      <c r="F78" s="1"/>
      <c r="G78" s="1"/>
      <c r="H78" s="1"/>
      <c r="I78" s="1"/>
      <c r="J78" s="1"/>
      <c r="K78" s="1"/>
      <c r="L78" s="1"/>
      <c r="M78" s="1"/>
      <c r="N78" s="1"/>
      <c r="O78" s="1"/>
      <c r="P78" s="1"/>
    </row>
    <row r="79">
      <c r="A79" s="1"/>
      <c r="B79" s="72" t="s">
        <v>79</v>
      </c>
      <c r="C79" s="76">
        <f>I90</f>
        <v>6804</v>
      </c>
      <c r="D79" s="7"/>
      <c r="E79" s="1"/>
      <c r="F79" s="1"/>
      <c r="G79" s="1"/>
      <c r="H79" s="1"/>
      <c r="I79" s="1"/>
      <c r="J79" s="1"/>
      <c r="K79" s="1"/>
      <c r="L79" s="1"/>
      <c r="M79" s="1"/>
      <c r="N79" s="1"/>
      <c r="O79" s="1"/>
      <c r="P79" s="1"/>
    </row>
    <row r="80">
      <c r="A80" s="1"/>
      <c r="B80" s="72" t="s">
        <v>80</v>
      </c>
      <c r="C80" s="76">
        <f>C79/1.1</f>
        <v>6185.454545</v>
      </c>
      <c r="D80" s="1"/>
      <c r="E80" s="1"/>
      <c r="F80" s="1"/>
      <c r="G80" s="1"/>
      <c r="H80" s="1"/>
      <c r="I80" s="1"/>
      <c r="J80" s="1"/>
      <c r="K80" s="1"/>
      <c r="L80" s="1"/>
      <c r="M80" s="1"/>
      <c r="N80" s="1"/>
      <c r="O80" s="1"/>
      <c r="P80" s="1"/>
    </row>
    <row r="81">
      <c r="A81" s="1"/>
      <c r="B81" s="72" t="s">
        <v>81</v>
      </c>
      <c r="C81" s="106">
        <v>480.0</v>
      </c>
      <c r="D81" s="46" t="s">
        <v>82</v>
      </c>
      <c r="E81" s="78">
        <f>1-(C81/C79)</f>
        <v>0.9294532628</v>
      </c>
      <c r="F81" s="1"/>
      <c r="G81" s="1"/>
      <c r="H81" s="1"/>
      <c r="I81" s="7"/>
      <c r="J81" s="1"/>
      <c r="K81" s="1"/>
      <c r="L81" s="1"/>
      <c r="M81" s="1"/>
      <c r="N81" s="1"/>
      <c r="O81" s="1"/>
      <c r="P81" s="1"/>
    </row>
    <row r="82">
      <c r="A82" s="1"/>
      <c r="B82" s="72" t="s">
        <v>83</v>
      </c>
      <c r="C82" s="76">
        <f>C81/1.1</f>
        <v>436.3636364</v>
      </c>
      <c r="D82" s="48"/>
      <c r="E82" s="1"/>
      <c r="F82" s="1"/>
      <c r="G82" s="1"/>
      <c r="H82" s="1"/>
      <c r="I82" s="1"/>
      <c r="J82" s="1"/>
      <c r="K82" s="1"/>
      <c r="L82" s="1"/>
      <c r="M82" s="1"/>
      <c r="N82" s="1"/>
      <c r="O82" s="1"/>
      <c r="P82" s="1"/>
    </row>
    <row r="83">
      <c r="A83" s="1"/>
      <c r="B83" s="72" t="s">
        <v>48</v>
      </c>
      <c r="C83" s="107">
        <v>5.0</v>
      </c>
      <c r="D83" s="48"/>
      <c r="E83" s="1"/>
      <c r="F83" s="1"/>
      <c r="G83" s="1"/>
      <c r="H83" s="1"/>
      <c r="I83" s="1"/>
      <c r="J83" s="1"/>
      <c r="K83" s="1"/>
      <c r="L83" s="1"/>
      <c r="M83" s="1"/>
      <c r="N83" s="1"/>
      <c r="O83" s="1"/>
      <c r="P83" s="1"/>
    </row>
    <row r="84">
      <c r="A84" s="1"/>
      <c r="B84" s="72" t="s">
        <v>50</v>
      </c>
      <c r="C84" s="49">
        <v>46097.5</v>
      </c>
      <c r="D84" s="50" t="s">
        <v>51</v>
      </c>
      <c r="E84" s="51">
        <v>46111.45832175926</v>
      </c>
      <c r="F84" s="1"/>
      <c r="G84" s="1"/>
      <c r="H84" s="1"/>
      <c r="I84" s="1"/>
      <c r="J84" s="1"/>
      <c r="K84" s="1"/>
      <c r="L84" s="1"/>
      <c r="M84" s="1"/>
      <c r="N84" s="1"/>
      <c r="O84" s="1"/>
      <c r="P84" s="1"/>
    </row>
    <row r="85">
      <c r="A85" s="1"/>
      <c r="B85" s="68"/>
      <c r="C85" s="80"/>
      <c r="D85" s="48"/>
      <c r="E85" s="1"/>
      <c r="F85" s="1"/>
      <c r="G85" s="1"/>
      <c r="H85" s="1"/>
      <c r="I85" s="1"/>
      <c r="J85" s="1"/>
      <c r="K85" s="1"/>
      <c r="L85" s="1"/>
      <c r="M85" s="1"/>
      <c r="N85" s="1"/>
      <c r="O85" s="1"/>
      <c r="P85" s="1"/>
    </row>
    <row r="86">
      <c r="A86" s="1"/>
      <c r="B86" s="72" t="s">
        <v>84</v>
      </c>
      <c r="C86" s="72" t="s">
        <v>85</v>
      </c>
      <c r="D86" s="81" t="s">
        <v>86</v>
      </c>
      <c r="E86" s="46" t="s">
        <v>57</v>
      </c>
      <c r="F86" s="46" t="s">
        <v>59</v>
      </c>
      <c r="G86" s="46" t="s">
        <v>87</v>
      </c>
      <c r="H86" s="81" t="s">
        <v>88</v>
      </c>
      <c r="I86" s="46" t="s">
        <v>89</v>
      </c>
      <c r="J86" s="46" t="s">
        <v>90</v>
      </c>
      <c r="K86" s="1"/>
      <c r="L86" s="1"/>
      <c r="M86" s="1"/>
      <c r="N86" s="1"/>
      <c r="O86" s="1"/>
      <c r="P86" s="1"/>
    </row>
    <row r="87">
      <c r="A87" s="1"/>
      <c r="B87" s="108" t="s">
        <v>111</v>
      </c>
      <c r="C87" s="109" t="s">
        <v>92</v>
      </c>
      <c r="D87" s="84" t="str">
        <f t="shared" ref="D87:D89" si="11">if(C87="","","(無期限)")</f>
        <v>(無期限)</v>
      </c>
      <c r="E87" s="110">
        <v>40.0</v>
      </c>
      <c r="F87" s="111">
        <v>40.0</v>
      </c>
      <c r="G87" s="83">
        <v>0.0</v>
      </c>
      <c r="H87" s="112">
        <v>37.8</v>
      </c>
      <c r="I87" s="87">
        <f t="shared" ref="I87:I89" si="12">H87*F87</f>
        <v>1512</v>
      </c>
      <c r="J87" s="88">
        <f t="shared" ref="J87:J89" si="13">G87*H87</f>
        <v>0</v>
      </c>
      <c r="K87" s="1"/>
      <c r="L87" s="1"/>
      <c r="M87" s="1"/>
      <c r="N87" s="1"/>
      <c r="O87" s="1"/>
      <c r="P87" s="1"/>
    </row>
    <row r="88">
      <c r="A88" s="1"/>
      <c r="B88" s="108" t="s">
        <v>112</v>
      </c>
      <c r="C88" s="113" t="s">
        <v>92</v>
      </c>
      <c r="D88" s="84" t="str">
        <f t="shared" si="11"/>
        <v>(無期限)</v>
      </c>
      <c r="E88" s="110">
        <v>30.0</v>
      </c>
      <c r="F88" s="111">
        <v>30.0</v>
      </c>
      <c r="G88" s="83">
        <v>0.0</v>
      </c>
      <c r="H88" s="112">
        <v>75.6</v>
      </c>
      <c r="I88" s="87">
        <f t="shared" si="12"/>
        <v>2268</v>
      </c>
      <c r="J88" s="88">
        <f t="shared" si="13"/>
        <v>0</v>
      </c>
      <c r="K88" s="1"/>
      <c r="L88" s="1"/>
      <c r="M88" s="1"/>
      <c r="N88" s="1"/>
      <c r="O88" s="1"/>
      <c r="P88" s="1"/>
    </row>
    <row r="89">
      <c r="A89" s="1"/>
      <c r="B89" s="108" t="s">
        <v>113</v>
      </c>
      <c r="C89" s="83" t="s">
        <v>92</v>
      </c>
      <c r="D89" s="84" t="str">
        <f t="shared" si="11"/>
        <v>(無期限)</v>
      </c>
      <c r="E89" s="110">
        <v>20.0</v>
      </c>
      <c r="F89" s="111">
        <v>20.0</v>
      </c>
      <c r="G89" s="83">
        <v>0.0</v>
      </c>
      <c r="H89" s="112">
        <v>151.2</v>
      </c>
      <c r="I89" s="87">
        <f t="shared" si="12"/>
        <v>3024</v>
      </c>
      <c r="J89" s="88">
        <f t="shared" si="13"/>
        <v>0</v>
      </c>
      <c r="K89" s="1"/>
      <c r="L89" s="1"/>
      <c r="M89" s="1"/>
      <c r="N89" s="1"/>
      <c r="O89" s="1"/>
      <c r="P89" s="1"/>
    </row>
    <row r="90">
      <c r="A90" s="1"/>
      <c r="B90" s="7" t="s">
        <v>114</v>
      </c>
      <c r="C90" s="1"/>
      <c r="D90" s="1"/>
      <c r="E90" s="114"/>
      <c r="F90" s="1"/>
      <c r="G90" s="89" t="s">
        <v>93</v>
      </c>
      <c r="H90" s="28"/>
      <c r="I90" s="59">
        <f t="shared" ref="I90:J90" si="14">SUM(I87:I89)</f>
        <v>6804</v>
      </c>
      <c r="J90" s="88">
        <f t="shared" si="14"/>
        <v>0</v>
      </c>
      <c r="K90" s="1"/>
      <c r="L90" s="1"/>
      <c r="M90" s="1"/>
      <c r="N90" s="1"/>
      <c r="O90" s="1"/>
      <c r="P90" s="1"/>
    </row>
    <row r="91">
      <c r="A91" s="1"/>
      <c r="B91" s="68"/>
      <c r="C91" s="1"/>
      <c r="D91" s="1"/>
      <c r="E91" s="68"/>
      <c r="F91" s="1"/>
      <c r="G91" s="89" t="s">
        <v>94</v>
      </c>
      <c r="H91" s="28"/>
      <c r="I91" s="115">
        <v>480.0</v>
      </c>
      <c r="J91" s="91" t="s">
        <v>95</v>
      </c>
      <c r="K91" s="1"/>
      <c r="L91" s="1"/>
      <c r="M91" s="1"/>
      <c r="N91" s="1"/>
      <c r="O91" s="1"/>
      <c r="P91" s="1"/>
    </row>
    <row r="92">
      <c r="A92" s="1"/>
      <c r="B92" s="68"/>
      <c r="C92" s="1"/>
      <c r="D92" s="1"/>
      <c r="E92" s="1"/>
      <c r="F92" s="1"/>
      <c r="G92" s="89" t="s">
        <v>96</v>
      </c>
      <c r="H92" s="28"/>
      <c r="I92" s="116">
        <f>iferror(1-(I91/I90),"")</f>
        <v>0.9294532628</v>
      </c>
      <c r="J92" s="93">
        <f>J90/I91</f>
        <v>0</v>
      </c>
      <c r="K92" s="1"/>
      <c r="L92" s="1"/>
      <c r="M92" s="1"/>
      <c r="N92" s="1"/>
      <c r="O92" s="1"/>
      <c r="P92" s="1"/>
    </row>
    <row r="93">
      <c r="A93" s="1"/>
      <c r="B93" s="68"/>
      <c r="C93" s="1"/>
      <c r="D93" s="1"/>
      <c r="E93" s="1"/>
      <c r="F93" s="1"/>
      <c r="G93" s="1"/>
      <c r="H93" s="1"/>
      <c r="I93" s="48"/>
      <c r="J93" s="94"/>
      <c r="K93" s="1"/>
      <c r="L93" s="1"/>
      <c r="M93" s="1"/>
      <c r="N93" s="1"/>
      <c r="O93" s="1"/>
      <c r="P93" s="1"/>
    </row>
    <row r="94">
      <c r="A94" s="1"/>
      <c r="B94" s="68"/>
      <c r="C94" s="1"/>
      <c r="D94" s="1"/>
      <c r="E94" s="1"/>
      <c r="F94" s="1"/>
      <c r="G94" s="1"/>
      <c r="H94" s="1"/>
      <c r="I94" s="48"/>
      <c r="J94" s="94"/>
      <c r="K94" s="1"/>
      <c r="L94" s="1"/>
      <c r="M94" s="1"/>
      <c r="N94" s="1"/>
      <c r="O94" s="1"/>
      <c r="P94" s="1"/>
    </row>
    <row r="95">
      <c r="A95" s="1"/>
      <c r="B95" s="70" t="s">
        <v>115</v>
      </c>
      <c r="C95" s="5"/>
      <c r="D95" s="5"/>
      <c r="E95" s="5"/>
      <c r="F95" s="5"/>
      <c r="G95" s="5"/>
      <c r="H95" s="5"/>
      <c r="I95" s="103"/>
      <c r="J95" s="103"/>
      <c r="K95" s="1"/>
      <c r="L95" s="1"/>
      <c r="M95" s="1"/>
      <c r="N95" s="1"/>
      <c r="O95" s="1"/>
      <c r="P95" s="1"/>
    </row>
    <row r="96">
      <c r="A96" s="1"/>
      <c r="B96" s="104" t="s">
        <v>106</v>
      </c>
      <c r="C96" s="1"/>
      <c r="D96" s="1"/>
      <c r="E96" s="1"/>
      <c r="F96" s="1"/>
      <c r="G96" s="1"/>
      <c r="H96" s="1"/>
      <c r="I96" s="1"/>
      <c r="J96" s="1"/>
      <c r="K96" s="1"/>
      <c r="L96" s="1"/>
      <c r="M96" s="1"/>
      <c r="N96" s="1"/>
      <c r="O96" s="1"/>
      <c r="P96" s="1"/>
    </row>
    <row r="97">
      <c r="A97" s="1"/>
      <c r="B97" s="46" t="s">
        <v>72</v>
      </c>
      <c r="C97" s="75" t="s">
        <v>116</v>
      </c>
      <c r="D97" s="1"/>
      <c r="E97" s="1"/>
      <c r="F97" s="1"/>
      <c r="G97" s="1"/>
      <c r="H97" s="1"/>
      <c r="I97" s="1"/>
      <c r="J97" s="1"/>
      <c r="K97" s="1"/>
      <c r="L97" s="1"/>
      <c r="M97" s="1"/>
      <c r="N97" s="1"/>
      <c r="O97" s="1"/>
      <c r="P97" s="1"/>
    </row>
    <row r="98">
      <c r="A98" s="1"/>
      <c r="B98" s="74" t="s">
        <v>74</v>
      </c>
      <c r="C98" s="117">
        <v>105.0</v>
      </c>
      <c r="D98" s="1"/>
      <c r="E98" s="1"/>
      <c r="F98" s="1"/>
      <c r="G98" s="1"/>
      <c r="H98" s="1"/>
      <c r="I98" s="1"/>
      <c r="J98" s="1"/>
      <c r="K98" s="1"/>
      <c r="L98" s="1"/>
      <c r="M98" s="1"/>
      <c r="N98" s="1"/>
      <c r="O98" s="1"/>
      <c r="P98" s="1"/>
    </row>
    <row r="99">
      <c r="A99" s="1"/>
      <c r="B99" s="46" t="s">
        <v>75</v>
      </c>
      <c r="C99" s="117" t="s">
        <v>117</v>
      </c>
      <c r="D99" s="1"/>
      <c r="E99" s="1"/>
      <c r="F99" s="1"/>
      <c r="G99" s="1"/>
      <c r="H99" s="1"/>
      <c r="I99" s="1"/>
      <c r="J99" s="1"/>
      <c r="K99" s="1"/>
      <c r="L99" s="1"/>
      <c r="M99" s="1"/>
      <c r="N99" s="1"/>
      <c r="O99" s="1"/>
      <c r="P99" s="1"/>
    </row>
    <row r="100">
      <c r="A100" s="1"/>
      <c r="B100" s="46" t="s">
        <v>77</v>
      </c>
      <c r="C100" s="117" t="s">
        <v>118</v>
      </c>
      <c r="D100" s="1"/>
      <c r="E100" s="1"/>
      <c r="F100" s="1"/>
      <c r="G100" s="1"/>
      <c r="H100" s="1"/>
      <c r="I100" s="1"/>
      <c r="J100" s="1"/>
      <c r="K100" s="1"/>
      <c r="L100" s="1"/>
      <c r="M100" s="1"/>
      <c r="N100" s="1"/>
      <c r="O100" s="1"/>
      <c r="P100" s="1"/>
    </row>
    <row r="101">
      <c r="A101" s="1"/>
      <c r="B101" s="46" t="s">
        <v>79</v>
      </c>
      <c r="C101" s="76">
        <f>I116</f>
        <v>1312.5</v>
      </c>
      <c r="D101" s="1"/>
      <c r="E101" s="1"/>
      <c r="F101" s="1"/>
      <c r="G101" s="1"/>
      <c r="H101" s="1"/>
      <c r="I101" s="1"/>
      <c r="J101" s="1"/>
      <c r="K101" s="1"/>
      <c r="L101" s="1"/>
      <c r="M101" s="1"/>
      <c r="N101" s="1"/>
      <c r="O101" s="1"/>
      <c r="P101" s="1"/>
    </row>
    <row r="102">
      <c r="A102" s="1"/>
      <c r="B102" s="46" t="s">
        <v>80</v>
      </c>
      <c r="C102" s="76">
        <f>C101/1.1</f>
        <v>1193.181818</v>
      </c>
      <c r="D102" s="1"/>
      <c r="E102" s="1"/>
      <c r="F102" s="1"/>
      <c r="G102" s="1"/>
      <c r="H102" s="1"/>
      <c r="I102" s="1"/>
      <c r="J102" s="1"/>
      <c r="K102" s="1"/>
      <c r="L102" s="1"/>
      <c r="M102" s="1"/>
      <c r="N102" s="1"/>
      <c r="O102" s="1"/>
      <c r="P102" s="1"/>
    </row>
    <row r="103">
      <c r="A103" s="1"/>
      <c r="B103" s="46" t="s">
        <v>81</v>
      </c>
      <c r="C103" s="77">
        <v>980.0</v>
      </c>
      <c r="D103" s="46" t="s">
        <v>82</v>
      </c>
      <c r="E103" s="78">
        <f>1-(C103/C101)</f>
        <v>0.2533333333</v>
      </c>
      <c r="F103" s="1"/>
      <c r="G103" s="1"/>
      <c r="H103" s="1"/>
      <c r="I103" s="1"/>
      <c r="J103" s="1"/>
      <c r="K103" s="1"/>
      <c r="L103" s="1"/>
      <c r="M103" s="1"/>
      <c r="N103" s="1"/>
      <c r="O103" s="1"/>
      <c r="P103" s="1"/>
    </row>
    <row r="104">
      <c r="A104" s="1"/>
      <c r="B104" s="46" t="s">
        <v>83</v>
      </c>
      <c r="C104" s="76">
        <f>C103-(C103*0.1)</f>
        <v>882</v>
      </c>
      <c r="D104" s="48"/>
      <c r="E104" s="1"/>
      <c r="F104" s="1"/>
      <c r="G104" s="1"/>
      <c r="H104" s="1"/>
      <c r="I104" s="1"/>
      <c r="J104" s="1"/>
      <c r="K104" s="1"/>
      <c r="L104" s="1"/>
      <c r="M104" s="1"/>
      <c r="N104" s="1"/>
      <c r="O104" s="1"/>
      <c r="P104" s="1"/>
    </row>
    <row r="105">
      <c r="A105" s="1"/>
      <c r="B105" s="46" t="s">
        <v>48</v>
      </c>
      <c r="C105" s="118">
        <v>1.0</v>
      </c>
      <c r="D105" s="48"/>
      <c r="E105" s="1"/>
      <c r="F105" s="1"/>
      <c r="G105" s="1"/>
      <c r="H105" s="1"/>
      <c r="I105" s="1"/>
      <c r="J105" s="1"/>
      <c r="K105" s="1"/>
      <c r="L105" s="1"/>
      <c r="M105" s="1"/>
      <c r="N105" s="1"/>
      <c r="O105" s="1"/>
      <c r="P105" s="1"/>
    </row>
    <row r="106">
      <c r="A106" s="1"/>
      <c r="B106" s="46" t="s">
        <v>50</v>
      </c>
      <c r="C106" s="49">
        <v>46097.5</v>
      </c>
      <c r="D106" s="50" t="s">
        <v>51</v>
      </c>
      <c r="E106" s="51">
        <v>46111.45832175926</v>
      </c>
      <c r="F106" s="1"/>
      <c r="G106" s="1"/>
      <c r="H106" s="1"/>
      <c r="I106" s="1"/>
      <c r="J106" s="1"/>
      <c r="K106" s="1"/>
      <c r="L106" s="1"/>
      <c r="M106" s="1"/>
      <c r="N106" s="1"/>
      <c r="O106" s="1"/>
      <c r="P106" s="1"/>
    </row>
    <row r="107">
      <c r="A107" s="1"/>
      <c r="B107" s="119"/>
      <c r="C107" s="120"/>
      <c r="D107" s="121"/>
      <c r="E107" s="119"/>
      <c r="F107" s="1"/>
      <c r="G107" s="1"/>
      <c r="H107" s="48"/>
      <c r="I107" s="1"/>
      <c r="J107" s="1"/>
      <c r="K107" s="1"/>
      <c r="L107" s="1"/>
      <c r="M107" s="1"/>
      <c r="N107" s="1"/>
      <c r="O107" s="1"/>
      <c r="P107" s="1"/>
    </row>
    <row r="108">
      <c r="A108" s="1"/>
      <c r="B108" s="46" t="s">
        <v>84</v>
      </c>
      <c r="C108" s="46" t="s">
        <v>85</v>
      </c>
      <c r="D108" s="81" t="s">
        <v>86</v>
      </c>
      <c r="E108" s="46" t="s">
        <v>57</v>
      </c>
      <c r="F108" s="46" t="s">
        <v>59</v>
      </c>
      <c r="G108" s="46" t="s">
        <v>87</v>
      </c>
      <c r="H108" s="81" t="s">
        <v>88</v>
      </c>
      <c r="I108" s="46" t="s">
        <v>89</v>
      </c>
      <c r="J108" s="46" t="s">
        <v>90</v>
      </c>
      <c r="K108" s="1"/>
      <c r="L108" s="1"/>
      <c r="M108" s="1"/>
      <c r="N108" s="1"/>
      <c r="O108" s="1"/>
      <c r="P108" s="1"/>
    </row>
    <row r="109">
      <c r="A109" s="1"/>
      <c r="B109" s="122" t="s">
        <v>119</v>
      </c>
      <c r="C109" s="123" t="s">
        <v>92</v>
      </c>
      <c r="D109" s="84" t="str">
        <f t="shared" ref="D109:D115" si="15">if(C109="","","(無期限)")</f>
        <v>(無期限)</v>
      </c>
      <c r="E109" s="84">
        <v>750.0</v>
      </c>
      <c r="F109" s="85">
        <v>750.0</v>
      </c>
      <c r="G109" s="83">
        <v>0.0</v>
      </c>
      <c r="H109" s="101">
        <v>0.27</v>
      </c>
      <c r="I109" s="87">
        <f t="shared" ref="I109:I115" si="16">H109*F109</f>
        <v>202.5</v>
      </c>
      <c r="J109" s="88">
        <f t="shared" ref="J109:J115" si="17">G109*H109</f>
        <v>0</v>
      </c>
      <c r="K109" s="1"/>
      <c r="L109" s="1"/>
      <c r="M109" s="1"/>
      <c r="N109" s="1"/>
      <c r="O109" s="1"/>
      <c r="P109" s="1"/>
    </row>
    <row r="110">
      <c r="A110" s="1"/>
      <c r="B110" s="122" t="s">
        <v>120</v>
      </c>
      <c r="C110" s="83" t="s">
        <v>92</v>
      </c>
      <c r="D110" s="84" t="str">
        <f t="shared" si="15"/>
        <v>(無期限)</v>
      </c>
      <c r="E110" s="84">
        <v>750.0</v>
      </c>
      <c r="F110" s="85">
        <v>750.0</v>
      </c>
      <c r="G110" s="83">
        <v>0.0</v>
      </c>
      <c r="H110" s="101">
        <v>0.27</v>
      </c>
      <c r="I110" s="87">
        <f t="shared" si="16"/>
        <v>202.5</v>
      </c>
      <c r="J110" s="88">
        <f t="shared" si="17"/>
        <v>0</v>
      </c>
      <c r="K110" s="1"/>
      <c r="L110" s="1"/>
      <c r="M110" s="1"/>
      <c r="N110" s="1"/>
      <c r="O110" s="1"/>
      <c r="P110" s="1"/>
    </row>
    <row r="111">
      <c r="A111" s="1"/>
      <c r="B111" s="122" t="s">
        <v>121</v>
      </c>
      <c r="C111" s="83" t="s">
        <v>92</v>
      </c>
      <c r="D111" s="84" t="str">
        <f t="shared" si="15"/>
        <v>(無期限)</v>
      </c>
      <c r="E111" s="84">
        <v>750.0</v>
      </c>
      <c r="F111" s="85">
        <v>750.0</v>
      </c>
      <c r="G111" s="83">
        <v>0.0</v>
      </c>
      <c r="H111" s="101">
        <v>0.27</v>
      </c>
      <c r="I111" s="87">
        <f t="shared" si="16"/>
        <v>202.5</v>
      </c>
      <c r="J111" s="88">
        <f t="shared" si="17"/>
        <v>0</v>
      </c>
      <c r="K111" s="1"/>
      <c r="L111" s="1"/>
      <c r="M111" s="1"/>
      <c r="N111" s="1"/>
      <c r="O111" s="1"/>
      <c r="P111" s="1"/>
    </row>
    <row r="112">
      <c r="A112" s="1"/>
      <c r="B112" s="122" t="s">
        <v>122</v>
      </c>
      <c r="C112" s="83" t="s">
        <v>92</v>
      </c>
      <c r="D112" s="84" t="str">
        <f t="shared" si="15"/>
        <v>(無期限)</v>
      </c>
      <c r="E112" s="84">
        <v>750.0</v>
      </c>
      <c r="F112" s="85">
        <v>750.0</v>
      </c>
      <c r="G112" s="83">
        <v>0.0</v>
      </c>
      <c r="H112" s="101">
        <v>0.27</v>
      </c>
      <c r="I112" s="87">
        <f t="shared" si="16"/>
        <v>202.5</v>
      </c>
      <c r="J112" s="88">
        <f t="shared" si="17"/>
        <v>0</v>
      </c>
      <c r="K112" s="1"/>
      <c r="L112" s="1"/>
      <c r="M112" s="1"/>
      <c r="N112" s="1"/>
      <c r="O112" s="1"/>
      <c r="P112" s="1"/>
    </row>
    <row r="113">
      <c r="A113" s="1"/>
      <c r="B113" s="122" t="s">
        <v>123</v>
      </c>
      <c r="C113" s="83" t="s">
        <v>92</v>
      </c>
      <c r="D113" s="84" t="str">
        <f t="shared" si="15"/>
        <v>(無期限)</v>
      </c>
      <c r="E113" s="84">
        <v>750.0</v>
      </c>
      <c r="F113" s="85">
        <v>750.0</v>
      </c>
      <c r="G113" s="83">
        <v>0.0</v>
      </c>
      <c r="H113" s="101">
        <v>0.27</v>
      </c>
      <c r="I113" s="87">
        <f t="shared" si="16"/>
        <v>202.5</v>
      </c>
      <c r="J113" s="88">
        <f t="shared" si="17"/>
        <v>0</v>
      </c>
      <c r="K113" s="1"/>
      <c r="L113" s="1"/>
      <c r="M113" s="1"/>
      <c r="N113" s="1"/>
      <c r="O113" s="1"/>
      <c r="P113" s="1"/>
    </row>
    <row r="114">
      <c r="A114" s="1"/>
      <c r="B114" s="122" t="s">
        <v>124</v>
      </c>
      <c r="C114" s="83" t="s">
        <v>92</v>
      </c>
      <c r="D114" s="84" t="str">
        <f t="shared" si="15"/>
        <v>(無期限)</v>
      </c>
      <c r="E114" s="84">
        <f t="shared" ref="E114:E115" si="18">F114+G114</f>
        <v>1</v>
      </c>
      <c r="F114" s="85">
        <v>1.0</v>
      </c>
      <c r="G114" s="83">
        <v>0.0</v>
      </c>
      <c r="H114" s="101">
        <v>300.0</v>
      </c>
      <c r="I114" s="87">
        <f t="shared" si="16"/>
        <v>300</v>
      </c>
      <c r="J114" s="88">
        <f t="shared" si="17"/>
        <v>0</v>
      </c>
      <c r="K114" s="1"/>
      <c r="L114" s="1"/>
      <c r="M114" s="1"/>
      <c r="N114" s="1"/>
      <c r="O114" s="1"/>
      <c r="P114" s="1"/>
    </row>
    <row r="115">
      <c r="A115" s="1"/>
      <c r="B115" s="124" t="s">
        <v>125</v>
      </c>
      <c r="C115" s="85" t="s">
        <v>126</v>
      </c>
      <c r="D115" s="85" t="str">
        <f t="shared" si="15"/>
        <v>(無期限)</v>
      </c>
      <c r="E115" s="85">
        <f t="shared" si="18"/>
        <v>10000</v>
      </c>
      <c r="F115" s="85">
        <v>0.0</v>
      </c>
      <c r="G115" s="85">
        <v>10000.0</v>
      </c>
      <c r="H115" s="125">
        <v>0.01</v>
      </c>
      <c r="I115" s="126">
        <f t="shared" si="16"/>
        <v>0</v>
      </c>
      <c r="J115" s="125">
        <f t="shared" si="17"/>
        <v>100</v>
      </c>
      <c r="K115" s="1"/>
      <c r="L115" s="1"/>
      <c r="M115" s="1"/>
      <c r="N115" s="1"/>
      <c r="O115" s="1"/>
      <c r="P115" s="1"/>
    </row>
    <row r="116">
      <c r="A116" s="1"/>
      <c r="B116" s="1"/>
      <c r="C116" s="1"/>
      <c r="D116" s="1"/>
      <c r="E116" s="1"/>
      <c r="F116" s="1"/>
      <c r="G116" s="89" t="s">
        <v>93</v>
      </c>
      <c r="H116" s="28"/>
      <c r="I116" s="59">
        <f>SUM(I109:I115)</f>
        <v>1312.5</v>
      </c>
      <c r="J116" s="88">
        <f>sum(J109:J115)</f>
        <v>100</v>
      </c>
      <c r="K116" s="1"/>
      <c r="L116" s="1"/>
      <c r="M116" s="1"/>
      <c r="N116" s="1"/>
      <c r="O116" s="1"/>
      <c r="P116" s="1"/>
    </row>
    <row r="117">
      <c r="A117" s="1"/>
      <c r="B117" s="1"/>
      <c r="C117" s="1"/>
      <c r="D117" s="1"/>
      <c r="E117" s="1"/>
      <c r="F117" s="1"/>
      <c r="G117" s="89" t="s">
        <v>94</v>
      </c>
      <c r="H117" s="28"/>
      <c r="I117" s="127">
        <f>C103</f>
        <v>980</v>
      </c>
      <c r="J117" s="128" t="s">
        <v>127</v>
      </c>
      <c r="K117" s="1"/>
      <c r="L117" s="1"/>
      <c r="M117" s="1"/>
      <c r="N117" s="1"/>
      <c r="O117" s="1"/>
      <c r="P117" s="1"/>
    </row>
    <row r="118">
      <c r="A118" s="1"/>
      <c r="B118" s="1"/>
      <c r="C118" s="1"/>
      <c r="D118" s="1"/>
      <c r="E118" s="1"/>
      <c r="F118" s="1"/>
      <c r="G118" s="89" t="s">
        <v>96</v>
      </c>
      <c r="H118" s="28"/>
      <c r="I118" s="92">
        <f>iferror(1-(I117/I116),"")</f>
        <v>0.2533333333</v>
      </c>
      <c r="J118" s="129">
        <f>J116/I117</f>
        <v>0.1020408163</v>
      </c>
      <c r="K118" s="1"/>
      <c r="L118" s="1"/>
      <c r="M118" s="1"/>
      <c r="N118" s="1"/>
      <c r="O118" s="1"/>
      <c r="P118" s="1"/>
    </row>
    <row r="119">
      <c r="A119" s="1"/>
      <c r="B119" s="1"/>
      <c r="C119" s="1"/>
      <c r="D119" s="1"/>
      <c r="E119" s="1"/>
      <c r="F119" s="1"/>
      <c r="G119" s="1"/>
      <c r="H119" s="1"/>
      <c r="I119" s="48" t="s">
        <v>128</v>
      </c>
      <c r="J119" s="94"/>
      <c r="K119" s="1"/>
      <c r="L119" s="1"/>
      <c r="M119" s="1"/>
      <c r="N119" s="1"/>
      <c r="O119" s="1"/>
      <c r="P119" s="1"/>
    </row>
    <row r="120">
      <c r="A120" s="1"/>
      <c r="B120" s="1"/>
      <c r="C120" s="1"/>
      <c r="D120" s="1"/>
      <c r="E120" s="1"/>
      <c r="F120" s="1"/>
      <c r="G120" s="1"/>
      <c r="H120" s="1"/>
      <c r="I120" s="48"/>
      <c r="J120" s="1"/>
      <c r="K120" s="1"/>
      <c r="L120" s="1"/>
      <c r="M120" s="1"/>
      <c r="N120" s="1"/>
      <c r="O120" s="1"/>
      <c r="P120" s="1"/>
    </row>
    <row r="121">
      <c r="A121" s="1"/>
      <c r="B121" s="1"/>
      <c r="C121" s="1"/>
      <c r="D121" s="1"/>
      <c r="E121" s="1"/>
      <c r="F121" s="1"/>
      <c r="G121" s="1"/>
      <c r="H121" s="1"/>
      <c r="I121" s="130"/>
      <c r="J121" s="130"/>
      <c r="K121" s="1"/>
      <c r="L121" s="1"/>
      <c r="M121" s="1"/>
      <c r="N121" s="1"/>
      <c r="O121" s="1"/>
      <c r="P121" s="1"/>
    </row>
    <row r="122">
      <c r="A122" s="1"/>
      <c r="B122" s="45" t="s">
        <v>129</v>
      </c>
      <c r="C122" s="5"/>
      <c r="D122" s="5"/>
      <c r="E122" s="5"/>
      <c r="F122" s="5"/>
      <c r="G122" s="5"/>
      <c r="H122" s="5"/>
      <c r="I122" s="5"/>
      <c r="J122" s="5"/>
      <c r="K122" s="1"/>
      <c r="L122" s="1"/>
      <c r="M122" s="1"/>
      <c r="N122" s="1"/>
      <c r="O122" s="1"/>
      <c r="P122" s="1"/>
    </row>
    <row r="123">
      <c r="A123" s="1"/>
      <c r="B123" s="104" t="s">
        <v>106</v>
      </c>
      <c r="C123" s="1"/>
      <c r="D123" s="1"/>
      <c r="E123" s="1"/>
      <c r="F123" s="1"/>
      <c r="G123" s="1"/>
      <c r="H123" s="1"/>
      <c r="I123" s="1"/>
      <c r="J123" s="1"/>
      <c r="K123" s="1"/>
      <c r="L123" s="1"/>
      <c r="M123" s="1"/>
      <c r="N123" s="1"/>
      <c r="O123" s="1"/>
      <c r="P123" s="1"/>
    </row>
    <row r="124">
      <c r="A124" s="1"/>
      <c r="B124" s="46" t="s">
        <v>72</v>
      </c>
      <c r="C124" s="75" t="s">
        <v>130</v>
      </c>
      <c r="D124" s="1"/>
      <c r="E124" s="1"/>
      <c r="F124" s="1"/>
      <c r="G124" s="1"/>
      <c r="H124" s="1"/>
      <c r="I124" s="1"/>
      <c r="J124" s="1"/>
      <c r="K124" s="1"/>
      <c r="L124" s="1"/>
      <c r="M124" s="1"/>
      <c r="N124" s="1"/>
      <c r="O124" s="1"/>
      <c r="P124" s="1"/>
    </row>
    <row r="125">
      <c r="A125" s="1"/>
      <c r="B125" s="74" t="s">
        <v>74</v>
      </c>
      <c r="C125" s="117">
        <v>106.0</v>
      </c>
      <c r="D125" s="1"/>
      <c r="E125" s="1"/>
      <c r="F125" s="1"/>
      <c r="G125" s="1"/>
      <c r="H125" s="1"/>
      <c r="I125" s="1"/>
      <c r="J125" s="1"/>
      <c r="K125" s="1"/>
      <c r="L125" s="1"/>
      <c r="M125" s="1"/>
      <c r="N125" s="1"/>
      <c r="O125" s="1"/>
      <c r="P125" s="1"/>
    </row>
    <row r="126">
      <c r="A126" s="1"/>
      <c r="B126" s="46" t="s">
        <v>75</v>
      </c>
      <c r="C126" s="117" t="s">
        <v>131</v>
      </c>
      <c r="D126" s="1"/>
      <c r="E126" s="1"/>
      <c r="F126" s="1"/>
      <c r="G126" s="1"/>
      <c r="H126" s="1"/>
      <c r="I126" s="1"/>
      <c r="J126" s="1"/>
      <c r="K126" s="1"/>
      <c r="L126" s="1"/>
      <c r="M126" s="1"/>
      <c r="N126" s="1"/>
      <c r="O126" s="1"/>
      <c r="P126" s="1"/>
    </row>
    <row r="127">
      <c r="A127" s="1"/>
      <c r="B127" s="46" t="s">
        <v>77</v>
      </c>
      <c r="C127" s="131" t="s">
        <v>132</v>
      </c>
      <c r="D127" s="1"/>
      <c r="E127" s="1"/>
      <c r="F127" s="1"/>
      <c r="G127" s="1"/>
      <c r="H127" s="1"/>
      <c r="I127" s="1"/>
      <c r="J127" s="1"/>
      <c r="K127" s="1"/>
      <c r="L127" s="1"/>
      <c r="M127" s="1"/>
      <c r="N127" s="1"/>
      <c r="O127" s="1"/>
      <c r="P127" s="1"/>
    </row>
    <row r="128">
      <c r="A128" s="1"/>
      <c r="B128" s="46" t="s">
        <v>79</v>
      </c>
      <c r="C128" s="76">
        <f>I141</f>
        <v>3225</v>
      </c>
      <c r="D128" s="1"/>
      <c r="E128" s="1"/>
      <c r="F128" s="1"/>
      <c r="G128" s="1"/>
      <c r="H128" s="1"/>
      <c r="I128" s="1"/>
      <c r="J128" s="1"/>
      <c r="K128" s="1"/>
      <c r="L128" s="1"/>
      <c r="M128" s="1"/>
      <c r="N128" s="1"/>
      <c r="O128" s="1"/>
      <c r="P128" s="1"/>
    </row>
    <row r="129">
      <c r="A129" s="1"/>
      <c r="B129" s="46" t="s">
        <v>80</v>
      </c>
      <c r="C129" s="76">
        <f>C128/1.1</f>
        <v>2931.818182</v>
      </c>
      <c r="D129" s="1"/>
      <c r="E129" s="130"/>
      <c r="F129" s="1"/>
      <c r="G129" s="132"/>
      <c r="H129" s="1"/>
      <c r="I129" s="1"/>
      <c r="J129" s="1"/>
      <c r="K129" s="1"/>
      <c r="L129" s="1"/>
      <c r="M129" s="1"/>
      <c r="N129" s="1"/>
      <c r="O129" s="1"/>
      <c r="P129" s="1"/>
    </row>
    <row r="130">
      <c r="A130" s="1"/>
      <c r="B130" s="46" t="s">
        <v>81</v>
      </c>
      <c r="C130" s="77">
        <v>2980.0</v>
      </c>
      <c r="D130" s="81" t="s">
        <v>82</v>
      </c>
      <c r="E130" s="78">
        <f>1-(C130/C128)</f>
        <v>0.07596899225</v>
      </c>
      <c r="F130" s="1"/>
      <c r="G130" s="1"/>
      <c r="H130" s="1"/>
      <c r="I130" s="1"/>
      <c r="J130" s="1"/>
      <c r="K130" s="1"/>
      <c r="L130" s="1"/>
      <c r="M130" s="1"/>
      <c r="N130" s="1"/>
      <c r="O130" s="1"/>
      <c r="P130" s="1"/>
    </row>
    <row r="131">
      <c r="A131" s="1"/>
      <c r="B131" s="46" t="s">
        <v>83</v>
      </c>
      <c r="C131" s="76">
        <f>C130-(C130*0.1)</f>
        <v>2682</v>
      </c>
      <c r="D131" s="48"/>
      <c r="E131" s="1"/>
      <c r="F131" s="1"/>
      <c r="G131" s="1"/>
      <c r="H131" s="1"/>
      <c r="I131" s="1"/>
      <c r="J131" s="1"/>
      <c r="K131" s="1"/>
      <c r="L131" s="1"/>
      <c r="M131" s="1"/>
      <c r="N131" s="1"/>
      <c r="O131" s="1"/>
      <c r="P131" s="1"/>
    </row>
    <row r="132">
      <c r="A132" s="1"/>
      <c r="B132" s="46" t="s">
        <v>48</v>
      </c>
      <c r="C132" s="107">
        <v>2.0</v>
      </c>
      <c r="D132" s="48"/>
      <c r="E132" s="130"/>
      <c r="F132" s="1"/>
      <c r="G132" s="132"/>
      <c r="H132" s="1"/>
      <c r="I132" s="1"/>
      <c r="J132" s="1"/>
      <c r="K132" s="1"/>
      <c r="L132" s="1"/>
      <c r="M132" s="1"/>
      <c r="N132" s="1"/>
      <c r="O132" s="1"/>
      <c r="P132" s="1"/>
    </row>
    <row r="133">
      <c r="A133" s="1"/>
      <c r="B133" s="46" t="s">
        <v>50</v>
      </c>
      <c r="C133" s="49">
        <v>46097.5</v>
      </c>
      <c r="D133" s="133" t="s">
        <v>51</v>
      </c>
      <c r="E133" s="51">
        <v>46111.45832175926</v>
      </c>
      <c r="F133" s="1"/>
      <c r="G133" s="1"/>
      <c r="H133" s="1"/>
      <c r="I133" s="1"/>
      <c r="J133" s="1"/>
      <c r="K133" s="1"/>
      <c r="L133" s="1"/>
      <c r="M133" s="1"/>
      <c r="N133" s="1"/>
      <c r="O133" s="1"/>
      <c r="P133" s="1"/>
    </row>
    <row r="134">
      <c r="A134" s="1"/>
      <c r="B134" s="1"/>
      <c r="C134" s="132"/>
      <c r="D134" s="48"/>
      <c r="E134" s="1"/>
      <c r="F134" s="1"/>
      <c r="G134" s="1"/>
      <c r="H134" s="48"/>
      <c r="I134" s="1"/>
      <c r="J134" s="1"/>
      <c r="K134" s="1"/>
      <c r="L134" s="1"/>
      <c r="M134" s="1"/>
      <c r="N134" s="1"/>
      <c r="O134" s="1"/>
      <c r="P134" s="1"/>
    </row>
    <row r="135">
      <c r="A135" s="1"/>
      <c r="B135" s="46" t="s">
        <v>84</v>
      </c>
      <c r="C135" s="46" t="s">
        <v>85</v>
      </c>
      <c r="D135" s="81" t="s">
        <v>86</v>
      </c>
      <c r="E135" s="46" t="s">
        <v>57</v>
      </c>
      <c r="F135" s="46" t="s">
        <v>59</v>
      </c>
      <c r="G135" s="46" t="s">
        <v>87</v>
      </c>
      <c r="H135" s="81" t="s">
        <v>88</v>
      </c>
      <c r="I135" s="46" t="s">
        <v>89</v>
      </c>
      <c r="J135" s="46" t="s">
        <v>90</v>
      </c>
      <c r="K135" s="1"/>
      <c r="L135" s="1"/>
      <c r="M135" s="1"/>
      <c r="N135" s="1"/>
      <c r="O135" s="1"/>
      <c r="P135" s="1"/>
    </row>
    <row r="136">
      <c r="A136" s="1"/>
      <c r="B136" s="122" t="s">
        <v>133</v>
      </c>
      <c r="C136" s="123" t="s">
        <v>92</v>
      </c>
      <c r="D136" s="84" t="str">
        <f t="shared" ref="D136:D140" si="19">if(C136="","","(無期限)")</f>
        <v>(無期限)</v>
      </c>
      <c r="E136" s="134">
        <v>120.0</v>
      </c>
      <c r="F136" s="85">
        <v>120.0</v>
      </c>
      <c r="G136" s="83">
        <v>0.0</v>
      </c>
      <c r="H136" s="135">
        <v>10.0</v>
      </c>
      <c r="I136" s="87">
        <f t="shared" ref="I136:I140" si="20">H136*F136</f>
        <v>1200</v>
      </c>
      <c r="J136" s="88">
        <f t="shared" ref="J136:J140" si="21">G136*H136</f>
        <v>0</v>
      </c>
      <c r="K136" s="1"/>
      <c r="L136" s="1"/>
      <c r="M136" s="1"/>
      <c r="N136" s="1"/>
      <c r="O136" s="1"/>
      <c r="P136" s="1"/>
    </row>
    <row r="137">
      <c r="A137" s="1"/>
      <c r="B137" s="122" t="s">
        <v>134</v>
      </c>
      <c r="C137" s="83" t="s">
        <v>92</v>
      </c>
      <c r="D137" s="84" t="str">
        <f t="shared" si="19"/>
        <v>(無期限)</v>
      </c>
      <c r="E137" s="84">
        <v>75.0</v>
      </c>
      <c r="F137" s="85">
        <v>75.0</v>
      </c>
      <c r="G137" s="83">
        <v>0.0</v>
      </c>
      <c r="H137" s="135">
        <v>15.0</v>
      </c>
      <c r="I137" s="87">
        <f t="shared" si="20"/>
        <v>1125</v>
      </c>
      <c r="J137" s="88">
        <f t="shared" si="21"/>
        <v>0</v>
      </c>
      <c r="K137" s="1"/>
      <c r="L137" s="1"/>
      <c r="M137" s="1"/>
      <c r="N137" s="1"/>
      <c r="O137" s="1"/>
      <c r="P137" s="1"/>
    </row>
    <row r="138">
      <c r="A138" s="1"/>
      <c r="B138" s="122" t="s">
        <v>135</v>
      </c>
      <c r="C138" s="83" t="s">
        <v>92</v>
      </c>
      <c r="D138" s="84" t="str">
        <f t="shared" si="19"/>
        <v>(無期限)</v>
      </c>
      <c r="E138" s="84">
        <v>10.0</v>
      </c>
      <c r="F138" s="85">
        <v>10.0</v>
      </c>
      <c r="G138" s="83">
        <v>0.0</v>
      </c>
      <c r="H138" s="135">
        <v>30.0</v>
      </c>
      <c r="I138" s="87">
        <f t="shared" si="20"/>
        <v>300</v>
      </c>
      <c r="J138" s="88">
        <f t="shared" si="21"/>
        <v>0</v>
      </c>
      <c r="K138" s="1"/>
      <c r="L138" s="1"/>
      <c r="M138" s="1"/>
      <c r="N138" s="1"/>
      <c r="O138" s="1"/>
      <c r="P138" s="1"/>
    </row>
    <row r="139">
      <c r="A139" s="1"/>
      <c r="B139" s="122" t="s">
        <v>124</v>
      </c>
      <c r="C139" s="83" t="s">
        <v>92</v>
      </c>
      <c r="D139" s="84" t="str">
        <f t="shared" si="19"/>
        <v>(無期限)</v>
      </c>
      <c r="E139" s="84">
        <v>2.0</v>
      </c>
      <c r="F139" s="85">
        <v>2.0</v>
      </c>
      <c r="G139" s="83">
        <v>0.0</v>
      </c>
      <c r="H139" s="101">
        <v>300.0</v>
      </c>
      <c r="I139" s="87">
        <f t="shared" si="20"/>
        <v>600</v>
      </c>
      <c r="J139" s="88">
        <f t="shared" si="21"/>
        <v>0</v>
      </c>
      <c r="K139" s="1"/>
      <c r="L139" s="1"/>
      <c r="M139" s="1"/>
      <c r="N139" s="1"/>
      <c r="O139" s="1"/>
      <c r="P139" s="1"/>
    </row>
    <row r="140">
      <c r="A140" s="1"/>
      <c r="B140" s="124" t="s">
        <v>125</v>
      </c>
      <c r="C140" s="85" t="s">
        <v>126</v>
      </c>
      <c r="D140" s="85" t="str">
        <f t="shared" si="19"/>
        <v>(無期限)</v>
      </c>
      <c r="E140" s="85">
        <f>F140+G140</f>
        <v>30000</v>
      </c>
      <c r="F140" s="85">
        <v>0.0</v>
      </c>
      <c r="G140" s="85">
        <v>30000.0</v>
      </c>
      <c r="H140" s="125">
        <v>0.01</v>
      </c>
      <c r="I140" s="126">
        <f t="shared" si="20"/>
        <v>0</v>
      </c>
      <c r="J140" s="125">
        <f t="shared" si="21"/>
        <v>300</v>
      </c>
      <c r="K140" s="1"/>
      <c r="L140" s="1"/>
      <c r="M140" s="1"/>
      <c r="N140" s="1"/>
      <c r="O140" s="1"/>
      <c r="P140" s="1"/>
    </row>
    <row r="141">
      <c r="A141" s="1"/>
      <c r="B141" s="1"/>
      <c r="C141" s="1"/>
      <c r="D141" s="1"/>
      <c r="E141" s="1"/>
      <c r="F141" s="1"/>
      <c r="G141" s="89" t="s">
        <v>93</v>
      </c>
      <c r="H141" s="28"/>
      <c r="I141" s="59">
        <f>SUM(I136:I140)</f>
        <v>3225</v>
      </c>
      <c r="J141" s="88">
        <f>sum(J136:J140)</f>
        <v>300</v>
      </c>
      <c r="K141" s="1"/>
      <c r="L141" s="1"/>
      <c r="M141" s="1"/>
      <c r="N141" s="1"/>
      <c r="O141" s="1"/>
      <c r="P141" s="1"/>
    </row>
    <row r="142">
      <c r="A142" s="1"/>
      <c r="B142" s="1"/>
      <c r="C142" s="1"/>
      <c r="D142" s="1"/>
      <c r="E142" s="1"/>
      <c r="F142" s="1"/>
      <c r="G142" s="89" t="s">
        <v>94</v>
      </c>
      <c r="H142" s="28"/>
      <c r="I142" s="127">
        <f>C130</f>
        <v>2980</v>
      </c>
      <c r="J142" s="128" t="s">
        <v>127</v>
      </c>
      <c r="K142" s="1"/>
      <c r="L142" s="1"/>
      <c r="M142" s="1"/>
      <c r="N142" s="1"/>
      <c r="O142" s="1"/>
      <c r="P142" s="1"/>
    </row>
    <row r="143">
      <c r="A143" s="1"/>
      <c r="B143" s="1"/>
      <c r="C143" s="1"/>
      <c r="D143" s="1"/>
      <c r="E143" s="1"/>
      <c r="F143" s="1"/>
      <c r="G143" s="89" t="s">
        <v>96</v>
      </c>
      <c r="H143" s="28"/>
      <c r="I143" s="92">
        <f>iferror(1-(I142/I141),"")</f>
        <v>0.07596899225</v>
      </c>
      <c r="J143" s="129">
        <f>J141/I142</f>
        <v>0.1006711409</v>
      </c>
      <c r="K143" s="1"/>
      <c r="L143" s="1"/>
      <c r="M143" s="1"/>
      <c r="N143" s="1"/>
      <c r="O143" s="1"/>
      <c r="P143" s="1"/>
    </row>
    <row r="144">
      <c r="A144" s="1"/>
      <c r="B144" s="1"/>
      <c r="C144" s="1"/>
      <c r="D144" s="1"/>
      <c r="E144" s="1"/>
      <c r="F144" s="1"/>
      <c r="G144" s="1"/>
      <c r="H144" s="1"/>
      <c r="I144" s="48" t="s">
        <v>128</v>
      </c>
      <c r="J144" s="94"/>
      <c r="K144" s="1"/>
      <c r="L144" s="1"/>
      <c r="M144" s="1"/>
      <c r="N144" s="1"/>
      <c r="O144" s="1"/>
      <c r="P144" s="1"/>
    </row>
    <row r="145">
      <c r="A145" s="1"/>
      <c r="B145" s="1"/>
      <c r="C145" s="1"/>
      <c r="D145" s="1"/>
      <c r="E145" s="1"/>
      <c r="F145" s="1"/>
      <c r="G145" s="1"/>
      <c r="H145" s="1"/>
      <c r="I145" s="48"/>
      <c r="J145" s="1"/>
      <c r="K145" s="1"/>
      <c r="L145" s="1"/>
      <c r="M145" s="1"/>
      <c r="N145" s="1"/>
      <c r="O145" s="1"/>
      <c r="P145" s="1"/>
    </row>
    <row r="146">
      <c r="A146" s="1"/>
      <c r="B146" s="1"/>
      <c r="C146" s="1"/>
      <c r="D146" s="1"/>
      <c r="E146" s="1"/>
      <c r="F146" s="1"/>
      <c r="G146" s="1"/>
      <c r="H146" s="1"/>
      <c r="I146" s="130"/>
      <c r="J146" s="130"/>
      <c r="K146" s="1"/>
      <c r="L146" s="1"/>
      <c r="M146" s="1"/>
      <c r="N146" s="1"/>
      <c r="O146" s="1"/>
      <c r="P146" s="1"/>
    </row>
    <row r="147">
      <c r="A147" s="1"/>
      <c r="B147" s="45" t="s">
        <v>136</v>
      </c>
      <c r="C147" s="5"/>
      <c r="D147" s="5"/>
      <c r="E147" s="5"/>
      <c r="F147" s="5"/>
      <c r="G147" s="5"/>
      <c r="H147" s="5"/>
      <c r="I147" s="5"/>
      <c r="J147" s="5"/>
      <c r="K147" s="1"/>
      <c r="L147" s="1"/>
      <c r="M147" s="1"/>
      <c r="N147" s="1"/>
      <c r="O147" s="1"/>
      <c r="P147" s="1"/>
    </row>
    <row r="148">
      <c r="A148" s="1"/>
      <c r="B148" s="104" t="s">
        <v>106</v>
      </c>
      <c r="C148" s="1"/>
      <c r="D148" s="1"/>
      <c r="E148" s="1"/>
      <c r="F148" s="1"/>
      <c r="G148" s="1"/>
      <c r="H148" s="1"/>
      <c r="I148" s="1"/>
      <c r="J148" s="1"/>
      <c r="K148" s="1"/>
      <c r="L148" s="1"/>
      <c r="M148" s="1"/>
      <c r="N148" s="1"/>
      <c r="O148" s="1"/>
      <c r="P148" s="1"/>
    </row>
    <row r="149">
      <c r="A149" s="1"/>
      <c r="B149" s="46" t="s">
        <v>72</v>
      </c>
      <c r="C149" s="75" t="s">
        <v>137</v>
      </c>
      <c r="D149" s="1"/>
      <c r="E149" s="1"/>
      <c r="F149" s="1"/>
      <c r="G149" s="1"/>
      <c r="H149" s="1"/>
      <c r="I149" s="1"/>
      <c r="J149" s="1"/>
      <c r="K149" s="1"/>
      <c r="L149" s="1"/>
      <c r="M149" s="1"/>
      <c r="N149" s="1"/>
      <c r="O149" s="1"/>
      <c r="P149" s="1"/>
    </row>
    <row r="150">
      <c r="A150" s="1"/>
      <c r="B150" s="74" t="s">
        <v>74</v>
      </c>
      <c r="C150" s="117">
        <v>107.0</v>
      </c>
      <c r="D150" s="1"/>
      <c r="E150" s="1"/>
      <c r="F150" s="1"/>
      <c r="G150" s="1"/>
      <c r="H150" s="1"/>
      <c r="I150" s="1"/>
      <c r="J150" s="1"/>
      <c r="K150" s="1"/>
      <c r="L150" s="1"/>
      <c r="M150" s="1"/>
      <c r="N150" s="1"/>
      <c r="O150" s="1"/>
      <c r="P150" s="1"/>
    </row>
    <row r="151">
      <c r="A151" s="1"/>
      <c r="B151" s="46" t="s">
        <v>75</v>
      </c>
      <c r="C151" s="117" t="s">
        <v>138</v>
      </c>
      <c r="D151" s="1"/>
      <c r="E151" s="1"/>
      <c r="F151" s="1"/>
      <c r="G151" s="1"/>
      <c r="H151" s="48"/>
      <c r="I151" s="94"/>
      <c r="J151" s="1"/>
      <c r="K151" s="1"/>
      <c r="L151" s="1"/>
      <c r="M151" s="1"/>
      <c r="N151" s="1"/>
      <c r="O151" s="1"/>
      <c r="P151" s="1"/>
    </row>
    <row r="152">
      <c r="A152" s="1"/>
      <c r="B152" s="46" t="s">
        <v>77</v>
      </c>
      <c r="C152" s="131" t="s">
        <v>139</v>
      </c>
      <c r="D152" s="1"/>
      <c r="E152" s="1"/>
      <c r="F152" s="1"/>
      <c r="G152" s="1"/>
      <c r="H152" s="48"/>
      <c r="I152" s="1"/>
      <c r="J152" s="1"/>
      <c r="K152" s="1"/>
      <c r="L152" s="1"/>
      <c r="M152" s="1"/>
      <c r="N152" s="1"/>
      <c r="O152" s="1"/>
      <c r="P152" s="1"/>
    </row>
    <row r="153">
      <c r="A153" s="1"/>
      <c r="B153" s="46" t="s">
        <v>79</v>
      </c>
      <c r="C153" s="76">
        <f>I165</f>
        <v>6000</v>
      </c>
      <c r="D153" s="1"/>
      <c r="E153" s="1"/>
      <c r="F153" s="1"/>
      <c r="G153" s="1"/>
      <c r="H153" s="130"/>
      <c r="I153" s="130"/>
      <c r="J153" s="1"/>
      <c r="K153" s="1"/>
      <c r="L153" s="1"/>
      <c r="M153" s="1"/>
      <c r="N153" s="1"/>
      <c r="O153" s="1"/>
      <c r="P153" s="1"/>
    </row>
    <row r="154">
      <c r="A154" s="1"/>
      <c r="B154" s="46" t="s">
        <v>80</v>
      </c>
      <c r="C154" s="76">
        <f>C153/1.1</f>
        <v>5454.545455</v>
      </c>
      <c r="D154" s="1"/>
      <c r="E154" s="130"/>
      <c r="F154" s="1"/>
      <c r="G154" s="132"/>
      <c r="H154" s="48"/>
      <c r="I154" s="94"/>
      <c r="J154" s="1"/>
      <c r="K154" s="1"/>
      <c r="L154" s="1"/>
      <c r="M154" s="1"/>
      <c r="N154" s="1"/>
      <c r="O154" s="1"/>
      <c r="P154" s="1"/>
    </row>
    <row r="155">
      <c r="A155" s="1"/>
      <c r="B155" s="46" t="s">
        <v>81</v>
      </c>
      <c r="C155" s="77">
        <v>4980.0</v>
      </c>
      <c r="D155" s="81" t="s">
        <v>82</v>
      </c>
      <c r="E155" s="78">
        <f>1-(C155/C153)</f>
        <v>0.17</v>
      </c>
      <c r="F155" s="1"/>
      <c r="G155" s="1"/>
      <c r="H155" s="48"/>
      <c r="I155" s="1"/>
      <c r="J155" s="1"/>
      <c r="K155" s="1"/>
      <c r="L155" s="1"/>
      <c r="M155" s="1"/>
      <c r="N155" s="1"/>
      <c r="O155" s="1"/>
      <c r="P155" s="1"/>
    </row>
    <row r="156">
      <c r="A156" s="1"/>
      <c r="B156" s="46" t="s">
        <v>83</v>
      </c>
      <c r="C156" s="76">
        <f>C155-(C155*0.1)</f>
        <v>4482</v>
      </c>
      <c r="D156" s="48"/>
      <c r="E156" s="1"/>
      <c r="F156" s="1"/>
      <c r="G156" s="1"/>
      <c r="H156" s="130"/>
      <c r="I156" s="130"/>
      <c r="J156" s="1"/>
      <c r="K156" s="1"/>
      <c r="L156" s="1"/>
      <c r="M156" s="1"/>
      <c r="N156" s="1"/>
      <c r="O156" s="1"/>
      <c r="P156" s="1"/>
    </row>
    <row r="157">
      <c r="A157" s="1"/>
      <c r="B157" s="46" t="s">
        <v>48</v>
      </c>
      <c r="C157" s="118">
        <v>1.0</v>
      </c>
      <c r="D157" s="48"/>
      <c r="E157" s="130"/>
      <c r="F157" s="1"/>
      <c r="G157" s="132"/>
      <c r="H157" s="1"/>
      <c r="I157" s="1"/>
      <c r="J157" s="1"/>
      <c r="K157" s="1"/>
      <c r="L157" s="1"/>
      <c r="M157" s="1"/>
      <c r="N157" s="1"/>
      <c r="O157" s="1"/>
      <c r="P157" s="1"/>
    </row>
    <row r="158">
      <c r="A158" s="1"/>
      <c r="B158" s="46" t="s">
        <v>50</v>
      </c>
      <c r="C158" s="49">
        <v>46097.5</v>
      </c>
      <c r="D158" s="133" t="s">
        <v>51</v>
      </c>
      <c r="E158" s="51">
        <v>46111.45832175926</v>
      </c>
      <c r="F158" s="1"/>
      <c r="G158" s="1"/>
      <c r="H158" s="1"/>
      <c r="I158" s="1"/>
      <c r="J158" s="1"/>
      <c r="K158" s="1"/>
      <c r="L158" s="1"/>
      <c r="M158" s="1"/>
      <c r="N158" s="1"/>
      <c r="O158" s="1"/>
      <c r="P158" s="1"/>
    </row>
    <row r="159">
      <c r="A159" s="1"/>
      <c r="B159" s="1"/>
      <c r="C159" s="132"/>
      <c r="D159" s="48"/>
      <c r="E159" s="1"/>
      <c r="F159" s="1"/>
      <c r="G159" s="1"/>
      <c r="H159" s="48"/>
      <c r="I159" s="1"/>
      <c r="J159" s="1"/>
      <c r="K159" s="1"/>
      <c r="L159" s="1"/>
      <c r="M159" s="1"/>
      <c r="N159" s="1"/>
      <c r="O159" s="1"/>
      <c r="P159" s="1"/>
    </row>
    <row r="160">
      <c r="A160" s="1"/>
      <c r="B160" s="46" t="s">
        <v>84</v>
      </c>
      <c r="C160" s="46" t="s">
        <v>85</v>
      </c>
      <c r="D160" s="81" t="s">
        <v>86</v>
      </c>
      <c r="E160" s="46" t="s">
        <v>57</v>
      </c>
      <c r="F160" s="46" t="s">
        <v>59</v>
      </c>
      <c r="G160" s="46" t="s">
        <v>87</v>
      </c>
      <c r="H160" s="81" t="s">
        <v>88</v>
      </c>
      <c r="I160" s="81" t="s">
        <v>89</v>
      </c>
      <c r="J160" s="99" t="s">
        <v>90</v>
      </c>
      <c r="K160" s="1"/>
      <c r="L160" s="1"/>
      <c r="M160" s="1"/>
      <c r="N160" s="1"/>
      <c r="O160" s="1"/>
      <c r="P160" s="1"/>
    </row>
    <row r="161">
      <c r="A161" s="1"/>
      <c r="B161" s="122" t="s">
        <v>140</v>
      </c>
      <c r="C161" s="123" t="s">
        <v>92</v>
      </c>
      <c r="D161" s="84" t="str">
        <f t="shared" ref="D161:D164" si="22">if(C161="","","(無期限)")</f>
        <v>(無期限)</v>
      </c>
      <c r="E161" s="134">
        <v>1.0</v>
      </c>
      <c r="F161" s="85">
        <v>1.0</v>
      </c>
      <c r="G161" s="83">
        <v>0.0</v>
      </c>
      <c r="H161" s="101">
        <v>3000.0</v>
      </c>
      <c r="I161" s="87">
        <f t="shared" ref="I161:I164" si="23">H161*F161</f>
        <v>3000</v>
      </c>
      <c r="J161" s="88">
        <f t="shared" ref="J161:J164" si="24">G161*H161</f>
        <v>0</v>
      </c>
      <c r="K161" s="1"/>
      <c r="L161" s="1"/>
      <c r="M161" s="1"/>
      <c r="N161" s="1"/>
      <c r="O161" s="1"/>
      <c r="P161" s="1"/>
    </row>
    <row r="162">
      <c r="A162" s="1"/>
      <c r="B162" s="122" t="s">
        <v>141</v>
      </c>
      <c r="C162" s="83" t="s">
        <v>92</v>
      </c>
      <c r="D162" s="84" t="str">
        <f t="shared" si="22"/>
        <v>(無期限)</v>
      </c>
      <c r="E162" s="84">
        <f>F162+G162</f>
        <v>50</v>
      </c>
      <c r="F162" s="85">
        <v>50.0</v>
      </c>
      <c r="G162" s="83">
        <v>0.0</v>
      </c>
      <c r="H162" s="136">
        <v>30.0</v>
      </c>
      <c r="I162" s="59">
        <f t="shared" si="23"/>
        <v>1500</v>
      </c>
      <c r="J162" s="88">
        <f t="shared" si="24"/>
        <v>0</v>
      </c>
      <c r="K162" s="1"/>
      <c r="L162" s="1"/>
      <c r="M162" s="1"/>
      <c r="N162" s="1"/>
      <c r="O162" s="1"/>
      <c r="P162" s="1"/>
    </row>
    <row r="163">
      <c r="A163" s="1"/>
      <c r="B163" s="122" t="s">
        <v>124</v>
      </c>
      <c r="C163" s="83" t="s">
        <v>92</v>
      </c>
      <c r="D163" s="84" t="str">
        <f t="shared" si="22"/>
        <v>(無期限)</v>
      </c>
      <c r="E163" s="84">
        <v>5.0</v>
      </c>
      <c r="F163" s="85">
        <v>5.0</v>
      </c>
      <c r="G163" s="83">
        <v>0.0</v>
      </c>
      <c r="H163" s="101">
        <v>300.0</v>
      </c>
      <c r="I163" s="87">
        <f t="shared" si="23"/>
        <v>1500</v>
      </c>
      <c r="J163" s="88">
        <f t="shared" si="24"/>
        <v>0</v>
      </c>
      <c r="K163" s="1"/>
      <c r="L163" s="1"/>
      <c r="M163" s="1"/>
      <c r="N163" s="1"/>
      <c r="O163" s="1"/>
      <c r="P163" s="1"/>
    </row>
    <row r="164">
      <c r="A164" s="1"/>
      <c r="B164" s="124" t="s">
        <v>125</v>
      </c>
      <c r="C164" s="85" t="s">
        <v>126</v>
      </c>
      <c r="D164" s="85" t="str">
        <f t="shared" si="22"/>
        <v>(無期限)</v>
      </c>
      <c r="E164" s="85">
        <f>F164+G164</f>
        <v>50000</v>
      </c>
      <c r="F164" s="85">
        <v>0.0</v>
      </c>
      <c r="G164" s="85">
        <v>50000.0</v>
      </c>
      <c r="H164" s="125">
        <v>0.01</v>
      </c>
      <c r="I164" s="126">
        <f t="shared" si="23"/>
        <v>0</v>
      </c>
      <c r="J164" s="125">
        <f t="shared" si="24"/>
        <v>500</v>
      </c>
      <c r="K164" s="1"/>
      <c r="L164" s="1"/>
      <c r="M164" s="1"/>
      <c r="N164" s="1"/>
      <c r="O164" s="1"/>
      <c r="P164" s="1"/>
    </row>
    <row r="165">
      <c r="A165" s="1"/>
      <c r="B165" s="1"/>
      <c r="C165" s="1"/>
      <c r="D165" s="1"/>
      <c r="E165" s="1"/>
      <c r="F165" s="1"/>
      <c r="G165" s="89" t="s">
        <v>93</v>
      </c>
      <c r="H165" s="28"/>
      <c r="I165" s="59">
        <f>SUM(I161:I164)</f>
        <v>6000</v>
      </c>
      <c r="J165" s="88">
        <f>sum(J161:J164)</f>
        <v>500</v>
      </c>
      <c r="K165" s="1"/>
      <c r="L165" s="1"/>
      <c r="M165" s="1"/>
      <c r="N165" s="1"/>
      <c r="O165" s="1"/>
      <c r="P165" s="1"/>
    </row>
    <row r="166">
      <c r="A166" s="1"/>
      <c r="B166" s="1"/>
      <c r="C166" s="1"/>
      <c r="D166" s="1"/>
      <c r="E166" s="1"/>
      <c r="F166" s="1"/>
      <c r="G166" s="89" t="s">
        <v>94</v>
      </c>
      <c r="H166" s="28"/>
      <c r="I166" s="127">
        <f>C155</f>
        <v>4980</v>
      </c>
      <c r="J166" s="128" t="s">
        <v>127</v>
      </c>
      <c r="K166" s="1"/>
      <c r="L166" s="1"/>
      <c r="M166" s="1"/>
      <c r="N166" s="1"/>
      <c r="O166" s="1"/>
      <c r="P166" s="1"/>
    </row>
    <row r="167">
      <c r="A167" s="1"/>
      <c r="B167" s="1"/>
      <c r="C167" s="1"/>
      <c r="D167" s="1"/>
      <c r="E167" s="1"/>
      <c r="F167" s="1"/>
      <c r="G167" s="89" t="s">
        <v>96</v>
      </c>
      <c r="H167" s="28"/>
      <c r="I167" s="92">
        <f>iferror(1-(I166/I165),"")</f>
        <v>0.17</v>
      </c>
      <c r="J167" s="129">
        <f>J165/I166</f>
        <v>0.1004016064</v>
      </c>
      <c r="K167" s="1"/>
      <c r="L167" s="1"/>
      <c r="M167" s="1"/>
      <c r="N167" s="1"/>
      <c r="O167" s="1"/>
      <c r="P167" s="1"/>
    </row>
    <row r="168">
      <c r="A168" s="1"/>
      <c r="B168" s="1"/>
      <c r="C168" s="1"/>
      <c r="D168" s="1"/>
      <c r="E168" s="1"/>
      <c r="F168" s="1"/>
      <c r="G168" s="1"/>
      <c r="H168" s="1"/>
      <c r="I168" s="48" t="s">
        <v>128</v>
      </c>
      <c r="J168" s="130"/>
      <c r="K168" s="1"/>
      <c r="L168" s="1"/>
      <c r="M168" s="1"/>
      <c r="N168" s="1"/>
      <c r="O168" s="1"/>
      <c r="P168" s="1"/>
    </row>
    <row r="169">
      <c r="A169" s="1"/>
      <c r="B169" s="1"/>
      <c r="C169" s="1"/>
      <c r="D169" s="1"/>
      <c r="E169" s="1"/>
      <c r="F169" s="1"/>
      <c r="G169" s="1"/>
      <c r="H169" s="1"/>
      <c r="I169" s="48"/>
      <c r="J169" s="1"/>
      <c r="K169" s="1"/>
      <c r="L169" s="1"/>
      <c r="M169" s="1"/>
      <c r="N169" s="1"/>
      <c r="O169" s="1"/>
      <c r="P169" s="1"/>
    </row>
    <row r="170">
      <c r="A170" s="1"/>
      <c r="B170" s="1"/>
      <c r="C170" s="1"/>
      <c r="D170" s="1"/>
      <c r="E170" s="1"/>
      <c r="F170" s="1"/>
      <c r="G170" s="1"/>
      <c r="H170" s="1"/>
      <c r="I170" s="48"/>
      <c r="J170" s="1"/>
      <c r="K170" s="1"/>
      <c r="L170" s="1"/>
      <c r="M170" s="1"/>
      <c r="N170" s="1"/>
      <c r="O170" s="1"/>
      <c r="P170" s="1"/>
    </row>
    <row r="171">
      <c r="A171" s="1"/>
      <c r="B171" s="1"/>
      <c r="C171" s="1"/>
      <c r="D171" s="1"/>
      <c r="E171" s="1"/>
      <c r="F171" s="1"/>
      <c r="G171" s="1"/>
      <c r="H171" s="1"/>
      <c r="I171" s="130"/>
      <c r="J171" s="130"/>
      <c r="K171" s="1"/>
      <c r="L171" s="1"/>
      <c r="M171" s="1"/>
      <c r="N171" s="1"/>
      <c r="O171" s="1"/>
      <c r="P171" s="1"/>
    </row>
    <row r="172">
      <c r="A172" s="1"/>
      <c r="B172" s="45" t="s">
        <v>142</v>
      </c>
      <c r="C172" s="5"/>
      <c r="D172" s="5"/>
      <c r="E172" s="5"/>
      <c r="F172" s="5"/>
      <c r="G172" s="5"/>
      <c r="H172" s="5"/>
      <c r="I172" s="5"/>
      <c r="J172" s="103"/>
      <c r="K172" s="1"/>
      <c r="L172" s="1"/>
      <c r="M172" s="1"/>
      <c r="N172" s="1"/>
      <c r="O172" s="1"/>
      <c r="P172" s="1"/>
    </row>
    <row r="173">
      <c r="A173" s="1"/>
      <c r="B173" s="104" t="s">
        <v>106</v>
      </c>
      <c r="C173" s="1"/>
      <c r="D173" s="1"/>
      <c r="E173" s="1"/>
      <c r="F173" s="1"/>
      <c r="G173" s="1"/>
      <c r="H173" s="1"/>
      <c r="I173" s="1"/>
      <c r="J173" s="1"/>
      <c r="K173" s="1"/>
      <c r="L173" s="1"/>
      <c r="M173" s="1"/>
      <c r="N173" s="1"/>
      <c r="O173" s="1"/>
      <c r="P173" s="1"/>
    </row>
    <row r="174">
      <c r="A174" s="1"/>
      <c r="B174" s="46" t="s">
        <v>72</v>
      </c>
      <c r="C174" s="117" t="s">
        <v>143</v>
      </c>
      <c r="D174" s="1"/>
      <c r="E174" s="1"/>
      <c r="F174" s="1"/>
      <c r="G174" s="1"/>
      <c r="H174" s="1"/>
      <c r="I174" s="1"/>
      <c r="J174" s="1"/>
      <c r="K174" s="1"/>
      <c r="L174" s="1"/>
      <c r="M174" s="1"/>
      <c r="N174" s="1"/>
      <c r="O174" s="1"/>
      <c r="P174" s="1"/>
    </row>
    <row r="175">
      <c r="A175" s="1"/>
      <c r="B175" s="74" t="s">
        <v>74</v>
      </c>
      <c r="C175" s="117">
        <v>108.0</v>
      </c>
      <c r="D175" s="1"/>
      <c r="E175" s="1"/>
      <c r="F175" s="1"/>
      <c r="G175" s="1"/>
      <c r="H175" s="1"/>
      <c r="I175" s="1"/>
      <c r="J175" s="1"/>
      <c r="K175" s="1"/>
      <c r="L175" s="1"/>
      <c r="M175" s="1"/>
      <c r="N175" s="1"/>
      <c r="O175" s="1"/>
      <c r="P175" s="1"/>
    </row>
    <row r="176">
      <c r="A176" s="1"/>
      <c r="B176" s="46" t="s">
        <v>75</v>
      </c>
      <c r="C176" s="117" t="s">
        <v>144</v>
      </c>
      <c r="D176" s="1"/>
      <c r="E176" s="1"/>
      <c r="F176" s="1"/>
      <c r="G176" s="1"/>
      <c r="H176" s="1"/>
      <c r="I176" s="1"/>
      <c r="J176" s="1"/>
      <c r="K176" s="1"/>
      <c r="L176" s="1"/>
      <c r="M176" s="1"/>
      <c r="N176" s="1"/>
      <c r="O176" s="1"/>
      <c r="P176" s="1"/>
    </row>
    <row r="177">
      <c r="A177" s="1"/>
      <c r="B177" s="46" t="s">
        <v>77</v>
      </c>
      <c r="C177" s="117" t="s">
        <v>145</v>
      </c>
      <c r="D177" s="1"/>
      <c r="E177" s="1"/>
      <c r="F177" s="1"/>
      <c r="G177" s="1"/>
      <c r="H177" s="1"/>
      <c r="I177" s="1"/>
      <c r="J177" s="1"/>
      <c r="K177" s="1"/>
      <c r="L177" s="1"/>
      <c r="M177" s="1"/>
      <c r="N177" s="1"/>
      <c r="O177" s="1"/>
      <c r="P177" s="1"/>
    </row>
    <row r="178">
      <c r="A178" s="1"/>
      <c r="B178" s="46" t="s">
        <v>79</v>
      </c>
      <c r="C178" s="137">
        <f>I199</f>
        <v>20257.5</v>
      </c>
      <c r="D178" s="1"/>
      <c r="E178" s="1"/>
      <c r="F178" s="1"/>
      <c r="G178" s="1"/>
      <c r="H178" s="1"/>
      <c r="I178" s="1"/>
      <c r="J178" s="1"/>
      <c r="K178" s="1"/>
      <c r="L178" s="1"/>
      <c r="M178" s="1"/>
      <c r="N178" s="1"/>
      <c r="O178" s="1"/>
      <c r="P178" s="1"/>
    </row>
    <row r="179">
      <c r="A179" s="1"/>
      <c r="B179" s="46" t="s">
        <v>80</v>
      </c>
      <c r="C179" s="76">
        <f>C178/1.1</f>
        <v>18415.90909</v>
      </c>
      <c r="D179" s="1"/>
      <c r="E179" s="1"/>
      <c r="F179" s="1"/>
      <c r="G179" s="1"/>
      <c r="H179" s="1"/>
      <c r="I179" s="1"/>
      <c r="J179" s="1"/>
      <c r="K179" s="1"/>
      <c r="L179" s="1"/>
      <c r="M179" s="1"/>
      <c r="N179" s="1"/>
      <c r="O179" s="1"/>
      <c r="P179" s="1"/>
    </row>
    <row r="180">
      <c r="A180" s="1"/>
      <c r="B180" s="46" t="s">
        <v>81</v>
      </c>
      <c r="C180" s="77">
        <v>10000.0</v>
      </c>
      <c r="D180" s="46" t="s">
        <v>82</v>
      </c>
      <c r="E180" s="78">
        <f>1-(C180/C178)</f>
        <v>0.5063556707</v>
      </c>
      <c r="F180" s="1"/>
      <c r="G180" s="1"/>
      <c r="H180" s="1"/>
      <c r="I180" s="1"/>
      <c r="J180" s="1"/>
      <c r="K180" s="1"/>
      <c r="L180" s="1"/>
      <c r="M180" s="1"/>
      <c r="N180" s="1"/>
      <c r="O180" s="1"/>
      <c r="P180" s="1"/>
    </row>
    <row r="181">
      <c r="A181" s="1"/>
      <c r="B181" s="46" t="s">
        <v>83</v>
      </c>
      <c r="C181" s="76">
        <f>C180-(C180*0.1)</f>
        <v>9000</v>
      </c>
      <c r="D181" s="48"/>
      <c r="E181" s="1"/>
      <c r="F181" s="1"/>
      <c r="G181" s="1"/>
      <c r="H181" s="1"/>
      <c r="I181" s="1"/>
      <c r="J181" s="1"/>
      <c r="K181" s="1"/>
      <c r="L181" s="1"/>
      <c r="M181" s="1"/>
      <c r="N181" s="1"/>
      <c r="O181" s="1"/>
      <c r="P181" s="1"/>
    </row>
    <row r="182">
      <c r="A182" s="1"/>
      <c r="B182" s="46" t="s">
        <v>48</v>
      </c>
      <c r="C182" s="118">
        <v>1.0</v>
      </c>
      <c r="D182" s="48"/>
      <c r="E182" s="1"/>
      <c r="F182" s="1"/>
      <c r="G182" s="1"/>
      <c r="H182" s="1"/>
      <c r="I182" s="1"/>
      <c r="J182" s="1"/>
      <c r="K182" s="1"/>
      <c r="L182" s="1"/>
      <c r="M182" s="1"/>
      <c r="N182" s="1"/>
      <c r="O182" s="1"/>
      <c r="P182" s="1"/>
    </row>
    <row r="183">
      <c r="A183" s="1"/>
      <c r="B183" s="46" t="s">
        <v>50</v>
      </c>
      <c r="C183" s="49">
        <v>46097.5</v>
      </c>
      <c r="D183" s="50" t="s">
        <v>51</v>
      </c>
      <c r="E183" s="51">
        <v>46111.45832175926</v>
      </c>
      <c r="F183" s="1"/>
      <c r="G183" s="1"/>
      <c r="H183" s="1"/>
      <c r="I183" s="1"/>
      <c r="J183" s="1"/>
      <c r="K183" s="1"/>
      <c r="L183" s="1"/>
      <c r="M183" s="1"/>
      <c r="N183" s="1"/>
      <c r="O183" s="1"/>
      <c r="P183" s="1"/>
    </row>
    <row r="184">
      <c r="A184" s="1"/>
      <c r="B184" s="1"/>
      <c r="C184" s="132"/>
      <c r="D184" s="48"/>
      <c r="E184" s="1"/>
      <c r="F184" s="1"/>
      <c r="G184" s="1"/>
      <c r="H184" s="1"/>
      <c r="I184" s="1"/>
      <c r="J184" s="1"/>
      <c r="K184" s="1"/>
      <c r="L184" s="1"/>
      <c r="M184" s="1"/>
      <c r="N184" s="1"/>
      <c r="O184" s="1"/>
      <c r="P184" s="1"/>
    </row>
    <row r="185">
      <c r="A185" s="1"/>
      <c r="B185" s="46" t="s">
        <v>84</v>
      </c>
      <c r="C185" s="46" t="s">
        <v>85</v>
      </c>
      <c r="D185" s="81" t="s">
        <v>86</v>
      </c>
      <c r="E185" s="46" t="s">
        <v>57</v>
      </c>
      <c r="F185" s="46" t="s">
        <v>59</v>
      </c>
      <c r="G185" s="46" t="s">
        <v>87</v>
      </c>
      <c r="H185" s="81" t="s">
        <v>88</v>
      </c>
      <c r="I185" s="46" t="s">
        <v>89</v>
      </c>
      <c r="J185" s="46" t="s">
        <v>90</v>
      </c>
      <c r="K185" s="1"/>
      <c r="L185" s="1"/>
      <c r="M185" s="1"/>
      <c r="N185" s="1"/>
      <c r="O185" s="1"/>
      <c r="P185" s="1"/>
    </row>
    <row r="186">
      <c r="A186" s="1"/>
      <c r="B186" s="122" t="s">
        <v>140</v>
      </c>
      <c r="C186" s="123" t="s">
        <v>92</v>
      </c>
      <c r="D186" s="84" t="str">
        <f t="shared" ref="D186:D198" si="25">if(C186="","","(無期限)")</f>
        <v>(無期限)</v>
      </c>
      <c r="E186" s="134">
        <v>1.0</v>
      </c>
      <c r="F186" s="85">
        <v>1.0</v>
      </c>
      <c r="G186" s="83">
        <v>0.0</v>
      </c>
      <c r="H186" s="101">
        <v>3000.0</v>
      </c>
      <c r="I186" s="87">
        <f t="shared" ref="I186:I198" si="26">H186*F186</f>
        <v>3000</v>
      </c>
      <c r="J186" s="88">
        <f t="shared" ref="J186:J198" si="27">G186*H186</f>
        <v>0</v>
      </c>
      <c r="K186" s="1"/>
      <c r="L186" s="1"/>
      <c r="M186" s="1"/>
      <c r="N186" s="1"/>
      <c r="O186" s="1"/>
      <c r="P186" s="1"/>
    </row>
    <row r="187">
      <c r="A187" s="1"/>
      <c r="B187" s="122" t="s">
        <v>141</v>
      </c>
      <c r="C187" s="83" t="s">
        <v>92</v>
      </c>
      <c r="D187" s="84" t="str">
        <f t="shared" si="25"/>
        <v>(無期限)</v>
      </c>
      <c r="E187" s="84">
        <v>200.0</v>
      </c>
      <c r="F187" s="85">
        <v>200.0</v>
      </c>
      <c r="G187" s="83">
        <v>0.0</v>
      </c>
      <c r="H187" s="101">
        <v>30.0</v>
      </c>
      <c r="I187" s="87">
        <f t="shared" si="26"/>
        <v>6000</v>
      </c>
      <c r="J187" s="88">
        <f t="shared" si="27"/>
        <v>0</v>
      </c>
      <c r="K187" s="1"/>
      <c r="L187" s="1"/>
      <c r="M187" s="1"/>
      <c r="N187" s="1"/>
      <c r="O187" s="1"/>
      <c r="P187" s="1"/>
    </row>
    <row r="188">
      <c r="A188" s="1"/>
      <c r="B188" s="122" t="s">
        <v>124</v>
      </c>
      <c r="C188" s="83" t="s">
        <v>92</v>
      </c>
      <c r="D188" s="84" t="str">
        <f t="shared" si="25"/>
        <v>(無期限)</v>
      </c>
      <c r="E188" s="84">
        <f t="shared" ref="E188:E189" si="28">F188+G188</f>
        <v>10</v>
      </c>
      <c r="F188" s="85">
        <v>10.0</v>
      </c>
      <c r="G188" s="83">
        <v>0.0</v>
      </c>
      <c r="H188" s="101">
        <v>300.0</v>
      </c>
      <c r="I188" s="87">
        <f t="shared" si="26"/>
        <v>3000</v>
      </c>
      <c r="J188" s="88">
        <f t="shared" si="27"/>
        <v>0</v>
      </c>
      <c r="K188" s="1"/>
      <c r="L188" s="1"/>
      <c r="M188" s="1"/>
      <c r="N188" s="1"/>
      <c r="O188" s="1"/>
      <c r="P188" s="1"/>
    </row>
    <row r="189">
      <c r="A189" s="1"/>
      <c r="B189" s="122" t="s">
        <v>146</v>
      </c>
      <c r="C189" s="83" t="s">
        <v>92</v>
      </c>
      <c r="D189" s="84" t="str">
        <f t="shared" si="25"/>
        <v>(無期限)</v>
      </c>
      <c r="E189" s="84">
        <f t="shared" si="28"/>
        <v>10</v>
      </c>
      <c r="F189" s="85">
        <v>10.0</v>
      </c>
      <c r="G189" s="83">
        <v>0.0</v>
      </c>
      <c r="H189" s="101">
        <v>300.0</v>
      </c>
      <c r="I189" s="87">
        <f t="shared" si="26"/>
        <v>3000</v>
      </c>
      <c r="J189" s="88">
        <f t="shared" si="27"/>
        <v>0</v>
      </c>
      <c r="K189" s="1"/>
      <c r="L189" s="1"/>
      <c r="M189" s="1"/>
      <c r="N189" s="1"/>
      <c r="O189" s="1"/>
      <c r="P189" s="1"/>
    </row>
    <row r="190">
      <c r="A190" s="1"/>
      <c r="B190" s="122" t="s">
        <v>133</v>
      </c>
      <c r="C190" s="83" t="s">
        <v>92</v>
      </c>
      <c r="D190" s="84" t="str">
        <f t="shared" si="25"/>
        <v>(無期限)</v>
      </c>
      <c r="E190" s="84">
        <v>120.0</v>
      </c>
      <c r="F190" s="85">
        <v>120.0</v>
      </c>
      <c r="G190" s="83">
        <v>0.0</v>
      </c>
      <c r="H190" s="135">
        <v>10.0</v>
      </c>
      <c r="I190" s="87">
        <f t="shared" si="26"/>
        <v>1200</v>
      </c>
      <c r="J190" s="88">
        <f t="shared" si="27"/>
        <v>0</v>
      </c>
      <c r="K190" s="1"/>
      <c r="L190" s="1"/>
      <c r="M190" s="1"/>
      <c r="N190" s="1"/>
      <c r="O190" s="1"/>
      <c r="P190" s="1"/>
    </row>
    <row r="191">
      <c r="A191" s="1"/>
      <c r="B191" s="122" t="s">
        <v>134</v>
      </c>
      <c r="C191" s="83" t="s">
        <v>92</v>
      </c>
      <c r="D191" s="84" t="str">
        <f t="shared" si="25"/>
        <v>(無期限)</v>
      </c>
      <c r="E191" s="84">
        <v>75.0</v>
      </c>
      <c r="F191" s="85">
        <v>75.0</v>
      </c>
      <c r="G191" s="83">
        <v>0.0</v>
      </c>
      <c r="H191" s="135">
        <v>15.0</v>
      </c>
      <c r="I191" s="87">
        <f t="shared" si="26"/>
        <v>1125</v>
      </c>
      <c r="J191" s="88">
        <f t="shared" si="27"/>
        <v>0</v>
      </c>
      <c r="K191" s="1"/>
      <c r="L191" s="1"/>
      <c r="M191" s="1"/>
      <c r="N191" s="1"/>
      <c r="O191" s="1"/>
      <c r="P191" s="1"/>
    </row>
    <row r="192">
      <c r="A192" s="1"/>
      <c r="B192" s="122" t="s">
        <v>135</v>
      </c>
      <c r="C192" s="83" t="s">
        <v>92</v>
      </c>
      <c r="D192" s="84" t="str">
        <f t="shared" si="25"/>
        <v>(無期限)</v>
      </c>
      <c r="E192" s="84">
        <v>10.0</v>
      </c>
      <c r="F192" s="85">
        <v>10.0</v>
      </c>
      <c r="G192" s="83">
        <v>0.0</v>
      </c>
      <c r="H192" s="135">
        <v>30.0</v>
      </c>
      <c r="I192" s="87">
        <f t="shared" si="26"/>
        <v>300</v>
      </c>
      <c r="J192" s="88">
        <f t="shared" si="27"/>
        <v>0</v>
      </c>
      <c r="K192" s="1"/>
      <c r="L192" s="1"/>
      <c r="M192" s="1"/>
      <c r="N192" s="1"/>
      <c r="O192" s="1"/>
      <c r="P192" s="1"/>
    </row>
    <row r="193">
      <c r="A193" s="1"/>
      <c r="B193" s="122" t="s">
        <v>119</v>
      </c>
      <c r="C193" s="83" t="s">
        <v>92</v>
      </c>
      <c r="D193" s="84" t="str">
        <f t="shared" si="25"/>
        <v>(無期限)</v>
      </c>
      <c r="E193" s="84">
        <f t="shared" ref="E193:E197" si="29">F193+G193</f>
        <v>1950</v>
      </c>
      <c r="F193" s="85">
        <v>1950.0</v>
      </c>
      <c r="G193" s="83">
        <v>0.0</v>
      </c>
      <c r="H193" s="101">
        <v>0.27</v>
      </c>
      <c r="I193" s="87">
        <f t="shared" si="26"/>
        <v>526.5</v>
      </c>
      <c r="J193" s="88">
        <f t="shared" si="27"/>
        <v>0</v>
      </c>
      <c r="K193" s="1"/>
      <c r="L193" s="1"/>
      <c r="M193" s="1"/>
      <c r="N193" s="1"/>
      <c r="O193" s="1"/>
      <c r="P193" s="1"/>
    </row>
    <row r="194">
      <c r="A194" s="1"/>
      <c r="B194" s="122" t="s">
        <v>120</v>
      </c>
      <c r="C194" s="83" t="s">
        <v>92</v>
      </c>
      <c r="D194" s="84" t="str">
        <f t="shared" si="25"/>
        <v>(無期限)</v>
      </c>
      <c r="E194" s="84">
        <f t="shared" si="29"/>
        <v>1950</v>
      </c>
      <c r="F194" s="85">
        <v>1950.0</v>
      </c>
      <c r="G194" s="83">
        <v>0.0</v>
      </c>
      <c r="H194" s="101">
        <v>0.27</v>
      </c>
      <c r="I194" s="87">
        <f t="shared" si="26"/>
        <v>526.5</v>
      </c>
      <c r="J194" s="88">
        <f t="shared" si="27"/>
        <v>0</v>
      </c>
      <c r="K194" s="1"/>
      <c r="L194" s="1"/>
      <c r="M194" s="1"/>
      <c r="N194" s="1"/>
      <c r="O194" s="1"/>
      <c r="P194" s="1"/>
    </row>
    <row r="195">
      <c r="A195" s="1"/>
      <c r="B195" s="122" t="s">
        <v>121</v>
      </c>
      <c r="C195" s="83" t="s">
        <v>92</v>
      </c>
      <c r="D195" s="84" t="str">
        <f t="shared" si="25"/>
        <v>(無期限)</v>
      </c>
      <c r="E195" s="84">
        <f t="shared" si="29"/>
        <v>1950</v>
      </c>
      <c r="F195" s="85">
        <v>1950.0</v>
      </c>
      <c r="G195" s="83">
        <v>0.0</v>
      </c>
      <c r="H195" s="101">
        <v>0.27</v>
      </c>
      <c r="I195" s="87">
        <f t="shared" si="26"/>
        <v>526.5</v>
      </c>
      <c r="J195" s="88">
        <f t="shared" si="27"/>
        <v>0</v>
      </c>
      <c r="K195" s="1"/>
      <c r="L195" s="1"/>
      <c r="M195" s="1"/>
      <c r="N195" s="1"/>
      <c r="O195" s="1"/>
      <c r="P195" s="1"/>
    </row>
    <row r="196">
      <c r="A196" s="1"/>
      <c r="B196" s="122" t="s">
        <v>122</v>
      </c>
      <c r="C196" s="83" t="s">
        <v>92</v>
      </c>
      <c r="D196" s="84" t="str">
        <f t="shared" si="25"/>
        <v>(無期限)</v>
      </c>
      <c r="E196" s="84">
        <f t="shared" si="29"/>
        <v>1950</v>
      </c>
      <c r="F196" s="85">
        <v>1950.0</v>
      </c>
      <c r="G196" s="83">
        <v>0.0</v>
      </c>
      <c r="H196" s="101">
        <v>0.27</v>
      </c>
      <c r="I196" s="87">
        <f t="shared" si="26"/>
        <v>526.5</v>
      </c>
      <c r="J196" s="88">
        <f t="shared" si="27"/>
        <v>0</v>
      </c>
      <c r="K196" s="1"/>
      <c r="L196" s="1"/>
      <c r="M196" s="1"/>
      <c r="N196" s="1"/>
      <c r="O196" s="1"/>
      <c r="P196" s="1"/>
    </row>
    <row r="197">
      <c r="A197" s="1"/>
      <c r="B197" s="122" t="s">
        <v>123</v>
      </c>
      <c r="C197" s="83" t="s">
        <v>92</v>
      </c>
      <c r="D197" s="84" t="str">
        <f t="shared" si="25"/>
        <v>(無期限)</v>
      </c>
      <c r="E197" s="84">
        <f t="shared" si="29"/>
        <v>1950</v>
      </c>
      <c r="F197" s="85">
        <v>1950.0</v>
      </c>
      <c r="G197" s="83">
        <v>0.0</v>
      </c>
      <c r="H197" s="101">
        <v>0.27</v>
      </c>
      <c r="I197" s="87">
        <f t="shared" si="26"/>
        <v>526.5</v>
      </c>
      <c r="J197" s="88">
        <f t="shared" si="27"/>
        <v>0</v>
      </c>
      <c r="K197" s="1"/>
      <c r="L197" s="1"/>
      <c r="M197" s="1"/>
      <c r="N197" s="1"/>
      <c r="O197" s="1"/>
      <c r="P197" s="1"/>
    </row>
    <row r="198">
      <c r="A198" s="1"/>
      <c r="B198" s="124" t="s">
        <v>125</v>
      </c>
      <c r="C198" s="85" t="s">
        <v>126</v>
      </c>
      <c r="D198" s="85" t="str">
        <f t="shared" si="25"/>
        <v>(無期限)</v>
      </c>
      <c r="E198" s="85">
        <v>150000.0</v>
      </c>
      <c r="F198" s="85">
        <v>0.0</v>
      </c>
      <c r="G198" s="85">
        <v>150000.0</v>
      </c>
      <c r="H198" s="125">
        <v>0.01</v>
      </c>
      <c r="I198" s="126">
        <f t="shared" si="26"/>
        <v>0</v>
      </c>
      <c r="J198" s="125">
        <f t="shared" si="27"/>
        <v>1500</v>
      </c>
      <c r="K198" s="1"/>
      <c r="L198" s="1"/>
      <c r="M198" s="1"/>
      <c r="N198" s="1"/>
      <c r="O198" s="1"/>
      <c r="P198" s="1"/>
    </row>
    <row r="199">
      <c r="A199" s="1"/>
      <c r="B199" s="1"/>
      <c r="C199" s="1"/>
      <c r="D199" s="1"/>
      <c r="E199" s="1"/>
      <c r="F199" s="1"/>
      <c r="G199" s="89" t="s">
        <v>93</v>
      </c>
      <c r="H199" s="28"/>
      <c r="I199" s="59">
        <f>SUM(I186:I198)</f>
        <v>20257.5</v>
      </c>
      <c r="J199" s="88">
        <f>sum(J186:J198)</f>
        <v>1500</v>
      </c>
      <c r="K199" s="1"/>
      <c r="L199" s="1"/>
      <c r="M199" s="1"/>
      <c r="N199" s="1"/>
      <c r="O199" s="1"/>
      <c r="P199" s="1"/>
    </row>
    <row r="200">
      <c r="A200" s="1"/>
      <c r="B200" s="1"/>
      <c r="C200" s="1"/>
      <c r="D200" s="1"/>
      <c r="E200" s="1"/>
      <c r="F200" s="1"/>
      <c r="G200" s="89" t="s">
        <v>94</v>
      </c>
      <c r="H200" s="28"/>
      <c r="I200" s="127">
        <f>C180</f>
        <v>10000</v>
      </c>
      <c r="J200" s="128" t="s">
        <v>127</v>
      </c>
      <c r="K200" s="1"/>
      <c r="L200" s="1"/>
      <c r="M200" s="1"/>
      <c r="N200" s="1"/>
      <c r="O200" s="1"/>
      <c r="P200" s="1"/>
    </row>
    <row r="201">
      <c r="A201" s="1"/>
      <c r="B201" s="1"/>
      <c r="C201" s="1"/>
      <c r="D201" s="1"/>
      <c r="E201" s="1"/>
      <c r="F201" s="1"/>
      <c r="G201" s="89" t="s">
        <v>96</v>
      </c>
      <c r="H201" s="28"/>
      <c r="I201" s="92">
        <f>iferror(1-(I200/I199),"")</f>
        <v>0.5063556707</v>
      </c>
      <c r="J201" s="129">
        <f>J199/I200</f>
        <v>0.15</v>
      </c>
      <c r="K201" s="1"/>
      <c r="L201" s="1"/>
      <c r="M201" s="1"/>
      <c r="N201" s="1"/>
      <c r="O201" s="1"/>
      <c r="P201" s="1"/>
    </row>
    <row r="202">
      <c r="A202" s="1"/>
      <c r="B202" s="1"/>
      <c r="C202" s="1"/>
      <c r="D202" s="1"/>
      <c r="E202" s="1"/>
      <c r="F202" s="1"/>
      <c r="G202" s="1"/>
      <c r="H202" s="1"/>
      <c r="I202" s="48" t="s">
        <v>128</v>
      </c>
      <c r="J202" s="94"/>
      <c r="K202" s="1"/>
      <c r="L202" s="1"/>
      <c r="M202" s="1"/>
      <c r="N202" s="1"/>
      <c r="O202" s="1"/>
      <c r="P202" s="1"/>
    </row>
    <row r="203">
      <c r="B203" s="1"/>
      <c r="C203" s="1"/>
      <c r="D203" s="1"/>
      <c r="E203" s="1"/>
      <c r="F203" s="1"/>
      <c r="G203" s="1"/>
      <c r="H203" s="1"/>
      <c r="I203" s="1"/>
      <c r="J203" s="1"/>
    </row>
    <row r="204">
      <c r="B204" s="1"/>
      <c r="C204" s="1"/>
      <c r="D204" s="1"/>
      <c r="E204" s="1"/>
      <c r="F204" s="1"/>
      <c r="G204" s="1"/>
      <c r="H204" s="1"/>
      <c r="I204" s="1"/>
      <c r="J204" s="1"/>
    </row>
    <row r="205">
      <c r="B205" s="15" t="s">
        <v>147</v>
      </c>
      <c r="C205" s="5"/>
      <c r="D205" s="5"/>
      <c r="E205" s="5"/>
      <c r="F205" s="5"/>
      <c r="G205" s="5"/>
      <c r="H205" s="5"/>
      <c r="I205" s="5"/>
      <c r="J205" s="5"/>
    </row>
    <row r="206">
      <c r="B206" s="104" t="s">
        <v>106</v>
      </c>
      <c r="C206" s="1"/>
      <c r="D206" s="1"/>
      <c r="E206" s="1"/>
      <c r="F206" s="1"/>
      <c r="G206" s="1"/>
      <c r="H206" s="1"/>
      <c r="I206" s="1"/>
      <c r="J206" s="1"/>
    </row>
    <row r="207">
      <c r="B207" s="46" t="s">
        <v>72</v>
      </c>
      <c r="C207" s="138" t="s">
        <v>148</v>
      </c>
      <c r="D207" s="1"/>
      <c r="E207" s="1"/>
      <c r="F207" s="1"/>
      <c r="G207" s="1"/>
      <c r="H207" s="1"/>
      <c r="I207" s="1"/>
      <c r="J207" s="1"/>
    </row>
    <row r="208">
      <c r="B208" s="74" t="s">
        <v>74</v>
      </c>
      <c r="C208" s="110">
        <v>111.0</v>
      </c>
      <c r="D208" s="1"/>
      <c r="E208" s="1"/>
      <c r="F208" s="1"/>
      <c r="G208" s="1"/>
      <c r="H208" s="1"/>
      <c r="I208" s="1"/>
      <c r="J208" s="1"/>
    </row>
    <row r="209">
      <c r="B209" s="46" t="s">
        <v>75</v>
      </c>
      <c r="C209" s="139" t="s">
        <v>149</v>
      </c>
      <c r="D209" s="1"/>
      <c r="E209" s="1"/>
      <c r="F209" s="1"/>
      <c r="G209" s="1"/>
      <c r="H209" s="1"/>
      <c r="I209" s="1"/>
      <c r="J209" s="1"/>
    </row>
    <row r="210">
      <c r="B210" s="46" t="s">
        <v>77</v>
      </c>
      <c r="C210" s="139" t="s">
        <v>150</v>
      </c>
      <c r="D210" s="1"/>
      <c r="E210" s="1"/>
      <c r="F210" s="1"/>
      <c r="G210" s="1"/>
      <c r="H210" s="1"/>
      <c r="I210" s="1"/>
      <c r="J210" s="1"/>
    </row>
    <row r="211">
      <c r="B211" s="46" t="s">
        <v>151</v>
      </c>
      <c r="C211" s="76" t="s">
        <v>152</v>
      </c>
      <c r="D211" s="1"/>
      <c r="E211" s="1"/>
      <c r="F211" s="1"/>
      <c r="G211" s="1"/>
      <c r="H211" s="1"/>
      <c r="I211" s="1"/>
      <c r="J211" s="1"/>
    </row>
    <row r="212">
      <c r="B212" s="46" t="s">
        <v>153</v>
      </c>
      <c r="C212" s="76">
        <f>J230</f>
        <v>6300</v>
      </c>
      <c r="D212" s="1"/>
      <c r="E212" s="1"/>
      <c r="F212" s="1"/>
      <c r="G212" s="1"/>
      <c r="H212" s="1"/>
      <c r="I212" s="1"/>
      <c r="J212" s="1"/>
    </row>
    <row r="213">
      <c r="B213" s="46" t="s">
        <v>80</v>
      </c>
      <c r="C213" s="76">
        <f>C212-(C212*0.1)</f>
        <v>5670</v>
      </c>
      <c r="D213" s="1"/>
      <c r="E213" s="1"/>
      <c r="F213" s="1"/>
      <c r="G213" s="1"/>
      <c r="H213" s="1"/>
      <c r="I213" s="1"/>
      <c r="J213" s="1"/>
    </row>
    <row r="214">
      <c r="B214" s="46" t="s">
        <v>154</v>
      </c>
      <c r="C214" s="77">
        <v>1980.0</v>
      </c>
      <c r="D214" s="46" t="s">
        <v>82</v>
      </c>
      <c r="E214" s="78">
        <f>1-(C214/C212)</f>
        <v>0.6857142857</v>
      </c>
      <c r="F214" s="1"/>
      <c r="G214" s="1"/>
      <c r="H214" s="1"/>
      <c r="I214" s="1"/>
      <c r="J214" s="1"/>
    </row>
    <row r="215">
      <c r="B215" s="46" t="s">
        <v>83</v>
      </c>
      <c r="C215" s="76">
        <f>C214-(C214*0.1)</f>
        <v>1782</v>
      </c>
      <c r="D215" s="48"/>
      <c r="E215" s="1"/>
      <c r="F215" s="1"/>
      <c r="G215" s="1"/>
      <c r="H215" s="1"/>
      <c r="I215" s="1"/>
      <c r="J215" s="1"/>
    </row>
    <row r="216">
      <c r="B216" s="46" t="s">
        <v>48</v>
      </c>
      <c r="C216" s="85">
        <v>1.0</v>
      </c>
      <c r="D216" s="48"/>
      <c r="E216" s="1"/>
      <c r="F216" s="1"/>
      <c r="G216" s="1"/>
      <c r="H216" s="1"/>
      <c r="I216" s="1"/>
      <c r="J216" s="1"/>
    </row>
    <row r="217">
      <c r="B217" s="46" t="s">
        <v>50</v>
      </c>
      <c r="C217" s="51">
        <v>46097.5</v>
      </c>
      <c r="D217" s="50" t="s">
        <v>51</v>
      </c>
      <c r="E217" s="140">
        <v>46128.166655092595</v>
      </c>
      <c r="F217" s="1"/>
      <c r="G217" s="1"/>
      <c r="H217" s="1"/>
      <c r="I217" s="1"/>
      <c r="J217" s="1"/>
    </row>
    <row r="218">
      <c r="B218" s="46" t="s">
        <v>155</v>
      </c>
      <c r="C218" s="97" t="s">
        <v>156</v>
      </c>
      <c r="D218" s="1"/>
      <c r="E218" s="1"/>
      <c r="F218" s="1"/>
      <c r="G218" s="1"/>
      <c r="H218" s="1"/>
      <c r="I218" s="1"/>
      <c r="J218" s="1"/>
    </row>
    <row r="219">
      <c r="B219" s="46" t="s">
        <v>157</v>
      </c>
      <c r="C219" s="97">
        <f>E228/C221</f>
        <v>100</v>
      </c>
      <c r="D219" s="141" t="s">
        <v>158</v>
      </c>
      <c r="E219" s="1"/>
      <c r="F219" s="1"/>
      <c r="G219" s="1"/>
      <c r="H219" s="1"/>
      <c r="I219" s="1"/>
      <c r="J219" s="1"/>
    </row>
    <row r="220">
      <c r="B220" s="46" t="s">
        <v>159</v>
      </c>
      <c r="C220" s="97">
        <f>G229/C221</f>
        <v>1000</v>
      </c>
      <c r="D220" s="1"/>
      <c r="E220" s="1"/>
      <c r="F220" s="1"/>
      <c r="G220" s="1"/>
      <c r="H220" s="1"/>
      <c r="I220" s="1"/>
      <c r="J220" s="1"/>
    </row>
    <row r="221">
      <c r="B221" s="46" t="s">
        <v>160</v>
      </c>
      <c r="C221" s="47">
        <v>30.0</v>
      </c>
      <c r="D221" s="141" t="s">
        <v>161</v>
      </c>
      <c r="E221" s="1"/>
      <c r="F221" s="1"/>
      <c r="G221" s="1"/>
      <c r="H221" s="1"/>
      <c r="I221" s="1"/>
      <c r="J221" s="1"/>
    </row>
    <row r="222">
      <c r="B222" s="46" t="s">
        <v>162</v>
      </c>
      <c r="C222" s="47" t="s">
        <v>163</v>
      </c>
      <c r="D222" s="141" t="s">
        <v>164</v>
      </c>
      <c r="E222" s="1"/>
      <c r="F222" s="1"/>
      <c r="G222" s="1"/>
      <c r="H222" s="1"/>
      <c r="I222" s="1"/>
      <c r="J222" s="1"/>
    </row>
    <row r="223">
      <c r="B223" s="46" t="s">
        <v>165</v>
      </c>
      <c r="C223" s="129">
        <f>$C$219/$E$228</f>
        <v>0.03333333333</v>
      </c>
      <c r="D223" s="142">
        <f>C221*0.3*C219/$E$228</f>
        <v>0.3</v>
      </c>
      <c r="E223" s="1"/>
      <c r="F223" s="1"/>
      <c r="G223" s="1"/>
      <c r="H223" s="1"/>
      <c r="I223" s="1"/>
      <c r="J223" s="1"/>
    </row>
    <row r="224">
      <c r="B224" s="46" t="s">
        <v>166</v>
      </c>
      <c r="C224" s="129">
        <f>$C$220/$E$229</f>
        <v>0.03333333333</v>
      </c>
      <c r="D224" s="142">
        <f>C221*0.3*C220/$E$229</f>
        <v>0.3</v>
      </c>
      <c r="E224" s="1"/>
      <c r="F224" s="1"/>
      <c r="G224" s="1"/>
      <c r="H224" s="1"/>
      <c r="I224" s="1"/>
      <c r="J224" s="1"/>
    </row>
    <row r="225">
      <c r="B225" s="46" t="s">
        <v>167</v>
      </c>
      <c r="C225" s="84"/>
      <c r="D225" s="1"/>
      <c r="E225" s="1"/>
      <c r="F225" s="1"/>
      <c r="G225" s="1"/>
      <c r="H225" s="1"/>
      <c r="I225" s="1"/>
      <c r="J225" s="1"/>
    </row>
    <row r="226">
      <c r="B226" s="1"/>
      <c r="C226" s="1"/>
      <c r="D226" s="1"/>
      <c r="E226" s="1"/>
      <c r="F226" s="1"/>
      <c r="G226" s="1"/>
      <c r="H226" s="1"/>
      <c r="I226" s="1"/>
      <c r="J226" s="1"/>
    </row>
    <row r="227">
      <c r="B227" s="46" t="s">
        <v>84</v>
      </c>
      <c r="C227" s="46" t="s">
        <v>85</v>
      </c>
      <c r="D227" s="46" t="s">
        <v>86</v>
      </c>
      <c r="E227" s="46" t="s">
        <v>168</v>
      </c>
      <c r="F227" s="46" t="s">
        <v>169</v>
      </c>
      <c r="G227" s="46" t="s">
        <v>87</v>
      </c>
      <c r="H227" s="81" t="s">
        <v>88</v>
      </c>
      <c r="I227" s="46" t="s">
        <v>89</v>
      </c>
      <c r="J227" s="46" t="s">
        <v>90</v>
      </c>
    </row>
    <row r="228">
      <c r="B228" s="122" t="s">
        <v>170</v>
      </c>
      <c r="C228" s="143" t="s">
        <v>171</v>
      </c>
      <c r="D228" s="84" t="str">
        <f t="shared" ref="D228:D229" si="30">if(C228="","","(無期限)")</f>
        <v>(無期限)</v>
      </c>
      <c r="E228" s="84">
        <f t="shared" ref="E228:E229" si="31">G228</f>
        <v>3000</v>
      </c>
      <c r="F228" s="85">
        <v>0.0</v>
      </c>
      <c r="G228" s="144">
        <v>3000.0</v>
      </c>
      <c r="H228" s="101">
        <v>2.0</v>
      </c>
      <c r="I228" s="87">
        <f t="shared" ref="I228:I229" si="32">H228*F228</f>
        <v>0</v>
      </c>
      <c r="J228" s="88">
        <f t="shared" ref="J228:J229" si="33">G228*H228</f>
        <v>6000</v>
      </c>
    </row>
    <row r="229">
      <c r="B229" s="122" t="s">
        <v>125</v>
      </c>
      <c r="C229" s="143" t="s">
        <v>171</v>
      </c>
      <c r="D229" s="84" t="str">
        <f t="shared" si="30"/>
        <v>(無期限)</v>
      </c>
      <c r="E229" s="84">
        <f t="shared" si="31"/>
        <v>30000</v>
      </c>
      <c r="F229" s="85">
        <v>0.0</v>
      </c>
      <c r="G229" s="144">
        <v>30000.0</v>
      </c>
      <c r="H229" s="101">
        <v>0.01</v>
      </c>
      <c r="I229" s="87">
        <f t="shared" si="32"/>
        <v>0</v>
      </c>
      <c r="J229" s="88">
        <f t="shared" si="33"/>
        <v>300</v>
      </c>
    </row>
    <row r="230">
      <c r="B230" s="1"/>
      <c r="C230" s="1"/>
      <c r="D230" s="1"/>
      <c r="E230" s="1"/>
      <c r="F230" s="1"/>
      <c r="G230" s="89" t="s">
        <v>93</v>
      </c>
      <c r="H230" s="28"/>
      <c r="I230" s="59">
        <f t="shared" ref="I230:J230" si="34">SUM(I227:I229)</f>
        <v>0</v>
      </c>
      <c r="J230" s="88">
        <f t="shared" si="34"/>
        <v>6300</v>
      </c>
    </row>
    <row r="231">
      <c r="B231" s="1"/>
      <c r="C231" s="1"/>
      <c r="D231" s="1"/>
      <c r="E231" s="1"/>
      <c r="F231" s="1"/>
      <c r="G231" s="89" t="s">
        <v>94</v>
      </c>
      <c r="H231" s="28"/>
      <c r="I231" s="127">
        <f>C214</f>
        <v>1980</v>
      </c>
      <c r="J231" s="145" t="s">
        <v>127</v>
      </c>
    </row>
    <row r="232">
      <c r="B232" s="1"/>
      <c r="C232" s="1"/>
      <c r="D232" s="1"/>
      <c r="E232" s="1"/>
      <c r="F232" s="1"/>
      <c r="G232" s="89" t="s">
        <v>96</v>
      </c>
      <c r="H232" s="28"/>
      <c r="I232" s="92">
        <f>iferror(1-(I231/J230),"")</f>
        <v>0.6857142857</v>
      </c>
      <c r="J232" s="93">
        <f>J230/I231</f>
        <v>3.181818182</v>
      </c>
    </row>
    <row r="233">
      <c r="B233" s="1"/>
      <c r="C233" s="1"/>
      <c r="D233" s="1"/>
      <c r="E233" s="1"/>
      <c r="F233" s="1"/>
      <c r="G233" s="1"/>
      <c r="H233" s="1"/>
      <c r="I233" s="1"/>
      <c r="J233" s="1"/>
    </row>
    <row r="234">
      <c r="B234" s="1"/>
      <c r="C234" s="1"/>
      <c r="D234" s="1"/>
      <c r="E234" s="1"/>
      <c r="F234" s="1"/>
      <c r="G234" s="1"/>
      <c r="H234" s="1"/>
      <c r="I234" s="1"/>
      <c r="J234" s="1"/>
    </row>
    <row r="235">
      <c r="B235" s="146" t="s">
        <v>172</v>
      </c>
      <c r="C235" s="1"/>
      <c r="D235" s="1"/>
      <c r="E235" s="1"/>
      <c r="F235" s="1"/>
      <c r="G235" s="1"/>
      <c r="H235" s="1"/>
      <c r="I235" s="1"/>
      <c r="J235" s="1"/>
    </row>
    <row r="236">
      <c r="B236" s="1"/>
      <c r="C236" s="1"/>
      <c r="D236" s="1"/>
      <c r="E236" s="1"/>
      <c r="F236" s="1"/>
      <c r="G236" s="1"/>
      <c r="H236" s="1"/>
      <c r="I236" s="1"/>
      <c r="J236" s="1"/>
    </row>
    <row r="237" ht="1.5" customHeight="1">
      <c r="B237" s="1"/>
      <c r="C237" s="1"/>
      <c r="D237" s="1"/>
      <c r="E237" s="1"/>
      <c r="F237" s="1"/>
      <c r="G237" s="1"/>
      <c r="H237" s="1"/>
      <c r="I237" s="1"/>
      <c r="J237" s="1"/>
    </row>
    <row r="238">
      <c r="A238" s="1"/>
      <c r="B238" s="70" t="s">
        <v>173</v>
      </c>
      <c r="C238" s="5"/>
      <c r="D238" s="5"/>
      <c r="E238" s="5"/>
      <c r="F238" s="5"/>
      <c r="G238" s="5"/>
      <c r="H238" s="5"/>
      <c r="I238" s="5"/>
      <c r="J238" s="5"/>
      <c r="K238" s="5"/>
      <c r="L238" s="5"/>
      <c r="M238" s="5"/>
      <c r="N238" s="5"/>
      <c r="O238" s="1"/>
      <c r="P238" s="1"/>
    </row>
    <row r="239">
      <c r="A239" s="1"/>
      <c r="B239" s="68"/>
      <c r="C239" s="1"/>
      <c r="D239" s="1"/>
      <c r="E239" s="1"/>
      <c r="F239" s="1"/>
      <c r="G239" s="1"/>
      <c r="H239" s="1"/>
      <c r="I239" s="1"/>
      <c r="J239" s="1"/>
      <c r="K239" s="1"/>
      <c r="L239" s="1"/>
      <c r="M239" s="1"/>
      <c r="N239" s="1"/>
      <c r="O239" s="1"/>
      <c r="P239" s="1"/>
    </row>
    <row r="240">
      <c r="A240" s="1"/>
      <c r="B240" s="46" t="s">
        <v>72</v>
      </c>
      <c r="C240" s="138" t="s">
        <v>174</v>
      </c>
      <c r="D240" s="1"/>
      <c r="E240" s="1"/>
      <c r="F240" s="1"/>
      <c r="G240" s="1"/>
      <c r="H240" s="1"/>
      <c r="I240" s="1"/>
      <c r="J240" s="1"/>
      <c r="K240" s="1"/>
      <c r="L240" s="1"/>
      <c r="M240" s="1"/>
      <c r="N240" s="1"/>
      <c r="O240" s="1"/>
      <c r="P240" s="1"/>
    </row>
    <row r="241">
      <c r="A241" s="1"/>
      <c r="B241" s="74" t="s">
        <v>74</v>
      </c>
      <c r="C241" s="110">
        <v>124.0</v>
      </c>
      <c r="D241" s="1"/>
      <c r="E241" s="1"/>
      <c r="F241" s="1"/>
      <c r="G241" s="1"/>
      <c r="H241" s="1"/>
      <c r="I241" s="1"/>
      <c r="J241" s="1"/>
      <c r="K241" s="1"/>
      <c r="L241" s="1"/>
      <c r="M241" s="1"/>
      <c r="N241" s="1"/>
      <c r="O241" s="1"/>
      <c r="P241" s="1"/>
    </row>
    <row r="242">
      <c r="A242" s="1"/>
      <c r="B242" s="46" t="s">
        <v>75</v>
      </c>
      <c r="C242" s="139" t="s">
        <v>175</v>
      </c>
      <c r="D242" s="1"/>
      <c r="E242" s="1"/>
      <c r="F242" s="1"/>
      <c r="G242" s="1"/>
      <c r="H242" s="1"/>
      <c r="I242" s="1"/>
      <c r="J242" s="1"/>
      <c r="K242" s="1"/>
      <c r="L242" s="1"/>
      <c r="M242" s="1"/>
      <c r="N242" s="1"/>
      <c r="O242" s="1"/>
      <c r="P242" s="1"/>
    </row>
    <row r="243">
      <c r="A243" s="1"/>
      <c r="B243" s="46" t="s">
        <v>77</v>
      </c>
      <c r="C243" s="139" t="s">
        <v>176</v>
      </c>
      <c r="D243" s="1"/>
      <c r="E243" s="1"/>
      <c r="F243" s="1"/>
      <c r="G243" s="1"/>
      <c r="H243" s="1"/>
      <c r="I243" s="1"/>
      <c r="J243" s="1"/>
      <c r="K243" s="1"/>
      <c r="L243" s="1"/>
      <c r="M243" s="1"/>
      <c r="N243" s="1"/>
      <c r="O243" s="1"/>
      <c r="P243" s="1"/>
    </row>
    <row r="244">
      <c r="A244" s="1"/>
      <c r="B244" s="72" t="s">
        <v>151</v>
      </c>
      <c r="C244" s="76" t="s">
        <v>28</v>
      </c>
      <c r="D244" s="1"/>
      <c r="E244" s="1"/>
      <c r="F244" s="1"/>
      <c r="G244" s="1"/>
      <c r="H244" s="1"/>
      <c r="I244" s="1"/>
      <c r="J244" s="1"/>
      <c r="K244" s="1"/>
      <c r="L244" s="1"/>
      <c r="M244" s="1"/>
      <c r="N244" s="1"/>
      <c r="O244" s="1"/>
      <c r="P244" s="1"/>
    </row>
    <row r="245">
      <c r="A245" s="1"/>
      <c r="B245" s="72" t="s">
        <v>153</v>
      </c>
      <c r="C245" s="76">
        <f>I255</f>
        <v>300</v>
      </c>
      <c r="D245" s="1"/>
      <c r="E245" s="1"/>
      <c r="F245" s="1"/>
      <c r="G245" s="1"/>
      <c r="H245" s="1"/>
      <c r="I245" s="1"/>
      <c r="J245" s="1"/>
      <c r="K245" s="1"/>
      <c r="L245" s="1"/>
      <c r="M245" s="1"/>
      <c r="N245" s="1"/>
      <c r="O245" s="1"/>
      <c r="P245" s="1"/>
    </row>
    <row r="246">
      <c r="A246" s="1"/>
      <c r="B246" s="72" t="s">
        <v>80</v>
      </c>
      <c r="C246" s="76">
        <f>C245-(C245*0.1)</f>
        <v>270</v>
      </c>
      <c r="D246" s="1"/>
      <c r="E246" s="1"/>
      <c r="F246" s="1"/>
      <c r="G246" s="1"/>
      <c r="H246" s="1"/>
      <c r="I246" s="1"/>
      <c r="J246" s="1"/>
      <c r="K246" s="1"/>
      <c r="L246" s="1"/>
      <c r="M246" s="1"/>
      <c r="N246" s="1"/>
      <c r="O246" s="1"/>
      <c r="P246" s="1"/>
    </row>
    <row r="247">
      <c r="A247" s="1"/>
      <c r="B247" s="72" t="s">
        <v>154</v>
      </c>
      <c r="C247" s="147">
        <v>300.0</v>
      </c>
      <c r="D247" s="46" t="s">
        <v>82</v>
      </c>
      <c r="E247" s="78">
        <f>1-(C247/C245)</f>
        <v>0</v>
      </c>
      <c r="F247" s="1"/>
      <c r="G247" s="1"/>
      <c r="H247" s="1"/>
      <c r="I247" s="1"/>
      <c r="J247" s="1"/>
      <c r="K247" s="1"/>
      <c r="L247" s="1"/>
      <c r="M247" s="1"/>
      <c r="N247" s="1"/>
      <c r="O247" s="1"/>
      <c r="P247" s="1"/>
    </row>
    <row r="248">
      <c r="A248" s="1"/>
      <c r="B248" s="72" t="s">
        <v>83</v>
      </c>
      <c r="C248" s="76">
        <f>C247-(C247*0.1)</f>
        <v>270</v>
      </c>
      <c r="D248" s="48"/>
      <c r="E248" s="1"/>
      <c r="F248" s="1"/>
      <c r="G248" s="1"/>
      <c r="H248" s="1"/>
      <c r="I248" s="1"/>
      <c r="J248" s="1"/>
      <c r="K248" s="1"/>
      <c r="L248" s="1"/>
      <c r="M248" s="1"/>
      <c r="N248" s="1"/>
      <c r="O248" s="1"/>
      <c r="P248" s="1"/>
    </row>
    <row r="249">
      <c r="A249" s="1"/>
      <c r="B249" s="72" t="s">
        <v>48</v>
      </c>
      <c r="C249" s="118">
        <v>1.0</v>
      </c>
      <c r="D249" s="98" t="s">
        <v>177</v>
      </c>
      <c r="E249" s="130"/>
      <c r="F249" s="1"/>
      <c r="G249" s="1"/>
      <c r="H249" s="1"/>
      <c r="I249" s="1"/>
      <c r="J249" s="1"/>
      <c r="K249" s="1"/>
      <c r="L249" s="1"/>
      <c r="M249" s="1"/>
      <c r="N249" s="1"/>
      <c r="O249" s="1"/>
      <c r="P249" s="1"/>
    </row>
    <row r="250">
      <c r="A250" s="1"/>
      <c r="B250" s="72" t="s">
        <v>162</v>
      </c>
      <c r="C250" s="51">
        <v>46097.5</v>
      </c>
      <c r="D250" s="133" t="s">
        <v>51</v>
      </c>
      <c r="E250" s="97" t="s">
        <v>52</v>
      </c>
      <c r="F250" s="1"/>
      <c r="G250" s="1"/>
      <c r="H250" s="1"/>
      <c r="I250" s="1"/>
      <c r="J250" s="1"/>
      <c r="K250" s="1"/>
      <c r="L250" s="1"/>
      <c r="M250" s="1"/>
      <c r="N250" s="1"/>
      <c r="O250" s="1"/>
      <c r="P250" s="1"/>
    </row>
    <row r="251">
      <c r="A251" s="1"/>
      <c r="B251" s="72" t="s">
        <v>167</v>
      </c>
      <c r="C251" s="134">
        <v>2.0260302E8</v>
      </c>
      <c r="D251" s="48"/>
      <c r="E251" s="1"/>
      <c r="F251" s="1"/>
      <c r="G251" s="1"/>
      <c r="H251" s="1"/>
      <c r="I251" s="1"/>
      <c r="J251" s="1"/>
      <c r="K251" s="1"/>
      <c r="L251" s="1"/>
      <c r="M251" s="1"/>
      <c r="N251" s="1"/>
      <c r="O251" s="1"/>
      <c r="P251" s="1"/>
    </row>
    <row r="252">
      <c r="A252" s="1"/>
      <c r="B252" s="68"/>
      <c r="C252" s="148"/>
      <c r="D252" s="1"/>
      <c r="E252" s="148"/>
      <c r="F252" s="1"/>
      <c r="G252" s="1"/>
      <c r="H252" s="1"/>
      <c r="I252" s="1"/>
      <c r="J252" s="1"/>
      <c r="K252" s="1"/>
      <c r="L252" s="1"/>
      <c r="M252" s="1"/>
      <c r="N252" s="1"/>
      <c r="O252" s="1"/>
      <c r="P252" s="1"/>
    </row>
    <row r="253">
      <c r="A253" s="1"/>
      <c r="B253" s="72" t="s">
        <v>84</v>
      </c>
      <c r="C253" s="149" t="s">
        <v>85</v>
      </c>
      <c r="D253" s="46" t="s">
        <v>86</v>
      </c>
      <c r="E253" s="46" t="s">
        <v>57</v>
      </c>
      <c r="F253" s="46" t="s">
        <v>59</v>
      </c>
      <c r="G253" s="46" t="s">
        <v>87</v>
      </c>
      <c r="H253" s="81" t="s">
        <v>88</v>
      </c>
      <c r="I253" s="46" t="s">
        <v>89</v>
      </c>
      <c r="J253" s="46" t="s">
        <v>90</v>
      </c>
      <c r="K253" s="1"/>
      <c r="L253" s="1"/>
      <c r="M253" s="1"/>
      <c r="N253" s="1"/>
      <c r="O253" s="1"/>
      <c r="P253" s="1"/>
    </row>
    <row r="254">
      <c r="A254" s="1"/>
      <c r="B254" s="100" t="s">
        <v>178</v>
      </c>
      <c r="C254" s="83" t="s">
        <v>92</v>
      </c>
      <c r="D254" s="84" t="str">
        <f>if(C254="","","(無期限)")</f>
        <v>(無期限)</v>
      </c>
      <c r="E254" s="84">
        <v>1.0</v>
      </c>
      <c r="F254" s="85">
        <v>1.0</v>
      </c>
      <c r="G254" s="83">
        <v>0.0</v>
      </c>
      <c r="H254" s="101">
        <v>300.0</v>
      </c>
      <c r="I254" s="87">
        <f>H254*F254</f>
        <v>300</v>
      </c>
      <c r="J254" s="88">
        <f>G254*H254</f>
        <v>0</v>
      </c>
      <c r="K254" s="1"/>
      <c r="L254" s="1"/>
      <c r="M254" s="1"/>
      <c r="N254" s="1"/>
      <c r="O254" s="1"/>
      <c r="P254" s="1"/>
    </row>
    <row r="255">
      <c r="A255" s="1"/>
      <c r="B255" s="7" t="s">
        <v>179</v>
      </c>
      <c r="C255" s="1"/>
      <c r="D255" s="1"/>
      <c r="E255" s="1"/>
      <c r="F255" s="1"/>
      <c r="G255" s="89" t="s">
        <v>93</v>
      </c>
      <c r="H255" s="28"/>
      <c r="I255" s="59">
        <f>SUM(I236:I254)</f>
        <v>300</v>
      </c>
      <c r="J255" s="88">
        <f>sum(J254)</f>
        <v>0</v>
      </c>
      <c r="K255" s="1"/>
      <c r="L255" s="1"/>
      <c r="M255" s="1"/>
      <c r="N255" s="1"/>
      <c r="O255" s="1"/>
      <c r="P255" s="1"/>
    </row>
    <row r="256">
      <c r="A256" s="1"/>
      <c r="B256" s="68"/>
      <c r="C256" s="1"/>
      <c r="D256" s="1"/>
      <c r="E256" s="1"/>
      <c r="F256" s="1"/>
      <c r="G256" s="89" t="s">
        <v>94</v>
      </c>
      <c r="H256" s="28"/>
      <c r="I256" s="127">
        <f>C247</f>
        <v>300</v>
      </c>
      <c r="J256" s="91" t="s">
        <v>95</v>
      </c>
      <c r="K256" s="1"/>
      <c r="L256" s="1"/>
      <c r="M256" s="1"/>
      <c r="N256" s="1"/>
      <c r="O256" s="1"/>
      <c r="P256" s="1"/>
    </row>
    <row r="257">
      <c r="A257" s="1"/>
      <c r="B257" s="68"/>
      <c r="C257" s="1"/>
      <c r="D257" s="1"/>
      <c r="E257" s="1"/>
      <c r="F257" s="1"/>
      <c r="G257" s="89" t="s">
        <v>96</v>
      </c>
      <c r="H257" s="28"/>
      <c r="I257" s="92">
        <f>iferror(1-(I256/I255),"")</f>
        <v>0</v>
      </c>
      <c r="J257" s="93">
        <f>J255/I256</f>
        <v>0</v>
      </c>
      <c r="K257" s="1"/>
      <c r="L257" s="1"/>
      <c r="M257" s="1"/>
      <c r="N257" s="1"/>
      <c r="O257" s="1"/>
      <c r="P257" s="1"/>
    </row>
    <row r="258">
      <c r="B258" s="150" t="s">
        <v>180</v>
      </c>
    </row>
  </sheetData>
  <mergeCells count="29">
    <mergeCell ref="E9:F9"/>
    <mergeCell ref="E23:F23"/>
    <mergeCell ref="G48:H48"/>
    <mergeCell ref="G49:H49"/>
    <mergeCell ref="G50:H50"/>
    <mergeCell ref="G68:H68"/>
    <mergeCell ref="G69:H69"/>
    <mergeCell ref="G70:H70"/>
    <mergeCell ref="G90:H90"/>
    <mergeCell ref="G91:H91"/>
    <mergeCell ref="G92:H92"/>
    <mergeCell ref="G116:H116"/>
    <mergeCell ref="G117:H117"/>
    <mergeCell ref="G118:H118"/>
    <mergeCell ref="G200:H200"/>
    <mergeCell ref="G201:H201"/>
    <mergeCell ref="G230:H230"/>
    <mergeCell ref="G231:H231"/>
    <mergeCell ref="G232:H232"/>
    <mergeCell ref="G255:H255"/>
    <mergeCell ref="G256:H256"/>
    <mergeCell ref="G257:H257"/>
    <mergeCell ref="G141:H141"/>
    <mergeCell ref="G142:H142"/>
    <mergeCell ref="G143:H143"/>
    <mergeCell ref="G165:H165"/>
    <mergeCell ref="G166:H166"/>
    <mergeCell ref="G167:H167"/>
    <mergeCell ref="G199:H199"/>
  </mergeCells>
  <dataValidations>
    <dataValidation type="list" allowBlank="1" showErrorMessage="1" sqref="M2">
      <formula1>"未承認,承認済,社内承認済"</formula1>
    </dataValidation>
    <dataValidation type="list" allowBlank="1" sqref="C47 C67 C87:C89 C109:C118 C136:C143 C160:C164 C186:C198 C254">
      <formula1>"有償販売,有償+無償販売,無償販売"</formula1>
    </dataValidation>
    <dataValidation type="list" allowBlank="1" sqref="C228:C229">
      <formula1>"有償販売,有償+無償販売,無償販売,無償扱い"</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0"/>
    <col customWidth="1" min="2" max="2" width="24.2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151"/>
      <c r="B2" s="156"/>
      <c r="C2" s="157"/>
      <c r="D2" s="157"/>
      <c r="E2" s="157"/>
      <c r="F2" s="158" t="s">
        <v>41</v>
      </c>
      <c r="G2" s="159"/>
      <c r="H2" s="14" t="s">
        <v>42</v>
      </c>
      <c r="I2" s="160"/>
    </row>
    <row r="3">
      <c r="A3" s="161" t="s">
        <v>181</v>
      </c>
      <c r="B3" s="162"/>
      <c r="C3" s="162"/>
      <c r="D3" s="162"/>
      <c r="E3" s="162"/>
      <c r="F3" s="162"/>
      <c r="G3" s="162"/>
      <c r="H3" s="163"/>
      <c r="I3" s="164" t="s">
        <v>182</v>
      </c>
    </row>
    <row r="4">
      <c r="A4" s="165" t="s">
        <v>183</v>
      </c>
      <c r="B4" s="166" t="s">
        <v>184</v>
      </c>
      <c r="C4" s="167"/>
      <c r="D4" s="167"/>
      <c r="E4" s="167"/>
      <c r="F4" s="167"/>
      <c r="G4" s="167"/>
      <c r="H4" s="168"/>
      <c r="I4" s="10" t="s">
        <v>185</v>
      </c>
    </row>
    <row r="5">
      <c r="A5" s="169" t="s">
        <v>186</v>
      </c>
      <c r="B5" s="170" t="s">
        <v>187</v>
      </c>
      <c r="C5" s="171"/>
      <c r="D5" s="171"/>
      <c r="E5" s="172"/>
      <c r="F5" s="171"/>
      <c r="G5" s="171"/>
      <c r="H5" s="173"/>
    </row>
    <row r="6">
      <c r="A6" s="165" t="s">
        <v>188</v>
      </c>
      <c r="B6" s="166" t="s">
        <v>189</v>
      </c>
      <c r="C6" s="167"/>
      <c r="D6" s="167"/>
      <c r="E6" s="167"/>
      <c r="F6" s="167"/>
      <c r="G6" s="167"/>
      <c r="H6" s="168"/>
    </row>
    <row r="7">
      <c r="A7" s="165" t="s">
        <v>190</v>
      </c>
      <c r="B7" s="174">
        <v>46097.5</v>
      </c>
      <c r="C7" s="175" t="s">
        <v>191</v>
      </c>
      <c r="D7" s="174">
        <v>46125.45832175926</v>
      </c>
      <c r="E7" s="167"/>
      <c r="F7" s="167"/>
      <c r="G7" s="167"/>
      <c r="H7" s="168"/>
      <c r="I7" s="10" t="s">
        <v>185</v>
      </c>
    </row>
    <row r="8">
      <c r="A8" s="165" t="s">
        <v>192</v>
      </c>
      <c r="B8" s="175" t="s">
        <v>193</v>
      </c>
      <c r="C8" s="166" t="s">
        <v>194</v>
      </c>
      <c r="D8" s="167"/>
      <c r="E8" s="167"/>
      <c r="F8" s="167"/>
      <c r="G8" s="167"/>
      <c r="H8" s="168"/>
    </row>
    <row r="9">
      <c r="A9" s="165" t="s">
        <v>195</v>
      </c>
      <c r="B9" s="166" t="s">
        <v>124</v>
      </c>
      <c r="C9" s="167"/>
      <c r="D9" s="167"/>
      <c r="E9" s="167"/>
      <c r="F9" s="167"/>
      <c r="G9" s="167"/>
      <c r="H9" s="168"/>
      <c r="I9" s="10" t="s">
        <v>21</v>
      </c>
    </row>
    <row r="10">
      <c r="A10" s="165" t="s">
        <v>196</v>
      </c>
      <c r="B10" s="170" t="s">
        <v>197</v>
      </c>
      <c r="C10" s="167"/>
      <c r="D10" s="167"/>
      <c r="E10" s="167"/>
      <c r="F10" s="167"/>
      <c r="G10" s="167"/>
      <c r="H10" s="168"/>
      <c r="I10" s="10" t="s">
        <v>21</v>
      </c>
    </row>
    <row r="11">
      <c r="A11" s="176" t="s">
        <v>198</v>
      </c>
      <c r="B11" s="177" t="s">
        <v>199</v>
      </c>
      <c r="C11" s="178"/>
      <c r="D11" s="178"/>
      <c r="E11" s="178"/>
      <c r="F11" s="178"/>
      <c r="G11" s="178"/>
      <c r="H11" s="179"/>
      <c r="I11" s="1"/>
    </row>
    <row r="12">
      <c r="A12" s="176" t="s">
        <v>200</v>
      </c>
      <c r="B12" s="175" t="s">
        <v>156</v>
      </c>
      <c r="C12" s="178"/>
      <c r="D12" s="178"/>
      <c r="E12" s="178"/>
      <c r="F12" s="178"/>
      <c r="G12" s="178"/>
      <c r="H12" s="179"/>
      <c r="I12" s="1"/>
    </row>
    <row r="13">
      <c r="A13" s="176" t="s">
        <v>201</v>
      </c>
      <c r="B13" s="175" t="s">
        <v>156</v>
      </c>
      <c r="C13" s="180"/>
      <c r="D13" s="178"/>
      <c r="E13" s="178"/>
      <c r="F13" s="178"/>
      <c r="G13" s="178"/>
      <c r="H13" s="179"/>
      <c r="I13" s="1"/>
    </row>
    <row r="14">
      <c r="A14" s="181" t="s">
        <v>202</v>
      </c>
      <c r="B14" s="182"/>
      <c r="C14" s="183" t="s">
        <v>203</v>
      </c>
      <c r="D14" s="184" t="str">
        <f>B14/60&amp;"時間"</f>
        <v>0時間</v>
      </c>
      <c r="E14" s="185" t="s">
        <v>204</v>
      </c>
      <c r="F14" s="186" t="s">
        <v>205</v>
      </c>
      <c r="G14" s="185"/>
      <c r="H14" s="187"/>
      <c r="I14" s="188"/>
    </row>
    <row r="15">
      <c r="A15" s="189" t="s">
        <v>206</v>
      </c>
      <c r="B15" s="190" t="s">
        <v>207</v>
      </c>
      <c r="C15" s="191"/>
      <c r="D15" s="185"/>
      <c r="E15" s="185"/>
      <c r="F15" s="185"/>
      <c r="G15" s="185"/>
      <c r="H15" s="187"/>
      <c r="I15" s="188"/>
    </row>
    <row r="16">
      <c r="A16" s="165" t="s">
        <v>208</v>
      </c>
      <c r="B16" s="175" t="s">
        <v>193</v>
      </c>
      <c r="C16" s="167"/>
      <c r="D16" s="167"/>
      <c r="E16" s="167"/>
      <c r="F16" s="167"/>
      <c r="G16" s="167"/>
      <c r="H16" s="168"/>
    </row>
    <row r="17">
      <c r="A17" s="165" t="s">
        <v>209</v>
      </c>
      <c r="B17" s="170">
        <v>200.0</v>
      </c>
      <c r="C17" s="166" t="s">
        <v>210</v>
      </c>
      <c r="D17" s="167"/>
      <c r="E17" s="167"/>
      <c r="F17" s="167"/>
      <c r="G17" s="167"/>
      <c r="H17" s="168"/>
    </row>
    <row r="18">
      <c r="A18" s="165" t="s">
        <v>211</v>
      </c>
      <c r="B18" s="175" t="s">
        <v>193</v>
      </c>
      <c r="C18" s="167"/>
      <c r="D18" s="167"/>
      <c r="E18" s="167"/>
      <c r="F18" s="167"/>
      <c r="G18" s="167"/>
      <c r="H18" s="168"/>
    </row>
    <row r="19">
      <c r="A19" s="165" t="s">
        <v>212</v>
      </c>
      <c r="B19" s="166">
        <v>10.0</v>
      </c>
      <c r="C19" s="166" t="s">
        <v>213</v>
      </c>
      <c r="D19" s="167"/>
      <c r="E19" s="167"/>
      <c r="F19" s="167"/>
      <c r="G19" s="167"/>
      <c r="H19" s="168"/>
    </row>
    <row r="20">
      <c r="A20" s="165" t="s">
        <v>214</v>
      </c>
      <c r="B20" s="175" t="s">
        <v>215</v>
      </c>
      <c r="C20" s="166" t="s">
        <v>216</v>
      </c>
      <c r="D20" s="167"/>
      <c r="E20" s="167"/>
      <c r="F20" s="167"/>
      <c r="G20" s="167"/>
      <c r="H20" s="168"/>
    </row>
    <row r="21">
      <c r="A21" s="165" t="s">
        <v>217</v>
      </c>
      <c r="B21" s="175" t="s">
        <v>156</v>
      </c>
      <c r="C21" s="167"/>
      <c r="D21" s="167"/>
      <c r="E21" s="167"/>
      <c r="F21" s="167"/>
      <c r="G21" s="167"/>
      <c r="H21" s="168"/>
    </row>
    <row r="22">
      <c r="A22" s="165" t="s">
        <v>218</v>
      </c>
      <c r="B22" s="175" t="s">
        <v>193</v>
      </c>
      <c r="C22" s="167"/>
      <c r="D22" s="167"/>
      <c r="E22" s="167"/>
      <c r="F22" s="167"/>
      <c r="G22" s="167"/>
      <c r="H22" s="168"/>
    </row>
    <row r="23">
      <c r="A23" s="192" t="s">
        <v>219</v>
      </c>
      <c r="B23" s="193">
        <v>150.0</v>
      </c>
      <c r="C23" s="194" t="s">
        <v>220</v>
      </c>
      <c r="D23" s="178" t="s">
        <v>221</v>
      </c>
      <c r="E23" s="178"/>
      <c r="F23" s="178"/>
      <c r="G23" s="178"/>
      <c r="H23" s="179"/>
      <c r="I23" s="1"/>
    </row>
    <row r="24">
      <c r="A24" s="165" t="s">
        <v>222</v>
      </c>
      <c r="B24" s="175" t="s">
        <v>193</v>
      </c>
      <c r="C24" s="167"/>
      <c r="D24" s="167"/>
      <c r="E24" s="167"/>
      <c r="F24" s="167"/>
      <c r="G24" s="167"/>
      <c r="H24" s="168"/>
    </row>
    <row r="25">
      <c r="A25" s="192" t="s">
        <v>223</v>
      </c>
      <c r="B25" s="195">
        <v>1500.0</v>
      </c>
      <c r="C25" s="194" t="s">
        <v>220</v>
      </c>
      <c r="D25" s="178" t="s">
        <v>224</v>
      </c>
      <c r="E25" s="178"/>
      <c r="F25" s="178"/>
      <c r="G25" s="178"/>
      <c r="H25" s="179"/>
      <c r="I25" s="1"/>
    </row>
    <row r="26">
      <c r="A26" s="165" t="s">
        <v>225</v>
      </c>
      <c r="B26" s="175" t="s">
        <v>156</v>
      </c>
      <c r="C26" s="167"/>
      <c r="D26" s="167"/>
      <c r="E26" s="167"/>
      <c r="F26" s="167"/>
      <c r="G26" s="167"/>
      <c r="H26" s="168"/>
    </row>
    <row r="27">
      <c r="A27" s="165" t="s">
        <v>226</v>
      </c>
      <c r="B27" s="167"/>
      <c r="C27" s="175" t="s">
        <v>227</v>
      </c>
      <c r="D27" s="167"/>
      <c r="E27" s="166" t="s">
        <v>228</v>
      </c>
      <c r="F27" s="166" t="s">
        <v>229</v>
      </c>
      <c r="G27" s="167"/>
      <c r="H27" s="168"/>
      <c r="I27" s="196"/>
    </row>
    <row r="28">
      <c r="A28" s="165" t="s">
        <v>230</v>
      </c>
      <c r="B28" s="166" t="s">
        <v>231</v>
      </c>
      <c r="C28" s="167"/>
      <c r="D28" s="167"/>
      <c r="E28" s="167"/>
      <c r="F28" s="167"/>
      <c r="G28" s="167"/>
      <c r="H28" s="168"/>
      <c r="I28" s="10" t="s">
        <v>185</v>
      </c>
    </row>
    <row r="29">
      <c r="A29" s="197" t="s">
        <v>232</v>
      </c>
      <c r="B29" s="166" t="s">
        <v>233</v>
      </c>
      <c r="C29" s="166"/>
      <c r="D29" s="167"/>
      <c r="E29" s="167"/>
      <c r="F29" s="167"/>
      <c r="G29" s="167"/>
      <c r="H29" s="168"/>
      <c r="I29" s="10" t="s">
        <v>185</v>
      </c>
    </row>
    <row r="30">
      <c r="A30" s="197" t="s">
        <v>234</v>
      </c>
      <c r="B30" s="166" t="s">
        <v>235</v>
      </c>
      <c r="C30" s="166"/>
      <c r="D30" s="167"/>
      <c r="E30" s="167"/>
      <c r="F30" s="167"/>
      <c r="G30" s="167"/>
      <c r="H30" s="168"/>
      <c r="I30" s="10" t="s">
        <v>185</v>
      </c>
    </row>
    <row r="31">
      <c r="A31" s="198" t="s">
        <v>236</v>
      </c>
      <c r="B31" s="194" t="s">
        <v>237</v>
      </c>
      <c r="C31" s="194" t="s">
        <v>238</v>
      </c>
      <c r="D31" s="178"/>
      <c r="E31" s="178"/>
      <c r="F31" s="178"/>
      <c r="G31" s="178"/>
      <c r="H31" s="179"/>
      <c r="I31" s="1"/>
    </row>
    <row r="32">
      <c r="A32" s="199"/>
      <c r="B32" s="194" t="s">
        <v>239</v>
      </c>
      <c r="C32" s="194"/>
      <c r="D32" s="178"/>
      <c r="E32" s="178"/>
      <c r="F32" s="178"/>
      <c r="G32" s="178"/>
      <c r="H32" s="179"/>
      <c r="I32" s="1"/>
    </row>
    <row r="33">
      <c r="A33" s="199"/>
      <c r="B33" s="194" t="s">
        <v>240</v>
      </c>
      <c r="C33" s="194"/>
      <c r="D33" s="178"/>
      <c r="E33" s="178"/>
      <c r="F33" s="178"/>
      <c r="G33" s="178"/>
      <c r="H33" s="179"/>
      <c r="I33" s="1"/>
    </row>
    <row r="34">
      <c r="A34" s="199"/>
      <c r="B34" s="194" t="s">
        <v>241</v>
      </c>
      <c r="C34" s="194"/>
      <c r="D34" s="178"/>
      <c r="E34" s="178"/>
      <c r="F34" s="178"/>
      <c r="G34" s="178"/>
      <c r="H34" s="179"/>
      <c r="I34" s="1"/>
    </row>
    <row r="35">
      <c r="A35" s="199"/>
      <c r="B35" s="194" t="s">
        <v>242</v>
      </c>
      <c r="C35" s="194"/>
      <c r="D35" s="178"/>
      <c r="E35" s="178"/>
      <c r="F35" s="178"/>
      <c r="G35" s="178"/>
      <c r="H35" s="179"/>
      <c r="I35" s="1"/>
    </row>
    <row r="36">
      <c r="A36" s="197" t="s">
        <v>22</v>
      </c>
      <c r="B36" s="200" t="s">
        <v>243</v>
      </c>
      <c r="C36" s="167"/>
      <c r="D36" s="167"/>
      <c r="E36" s="167"/>
      <c r="F36" s="167"/>
      <c r="G36" s="167"/>
      <c r="H36" s="168"/>
    </row>
    <row r="37">
      <c r="A37" s="201"/>
      <c r="B37" s="180" t="s">
        <v>244</v>
      </c>
      <c r="C37" s="167"/>
      <c r="D37" s="167"/>
      <c r="E37" s="167"/>
      <c r="F37" s="167"/>
      <c r="G37" s="167"/>
      <c r="H37" s="168"/>
    </row>
    <row r="38">
      <c r="A38" s="202" t="s">
        <v>245</v>
      </c>
      <c r="B38" s="203"/>
      <c r="C38" s="204"/>
      <c r="D38" s="204"/>
      <c r="E38" s="204"/>
      <c r="F38" s="204"/>
      <c r="G38" s="204"/>
      <c r="H38" s="205"/>
      <c r="I38" s="1"/>
    </row>
    <row r="39">
      <c r="A39" s="13" t="s">
        <v>246</v>
      </c>
      <c r="B39" s="7" t="s">
        <v>247</v>
      </c>
      <c r="C39" s="1"/>
      <c r="D39" s="1"/>
      <c r="E39" s="1"/>
      <c r="F39" s="1"/>
      <c r="G39" s="1"/>
      <c r="H39" s="206"/>
      <c r="I39" s="1"/>
    </row>
    <row r="40">
      <c r="A40" s="207" t="s">
        <v>248</v>
      </c>
      <c r="B40" s="208" t="s">
        <v>249</v>
      </c>
      <c r="C40" s="209"/>
      <c r="D40" s="209"/>
      <c r="E40" s="209"/>
      <c r="F40" s="209"/>
      <c r="G40" s="209"/>
      <c r="H40" s="210"/>
      <c r="I40" s="1"/>
    </row>
    <row r="41">
      <c r="A41" s="211" t="s">
        <v>250</v>
      </c>
      <c r="B41" s="212"/>
      <c r="C41" s="212"/>
      <c r="D41" s="212"/>
      <c r="E41" s="212"/>
      <c r="F41" s="212"/>
      <c r="G41" s="212"/>
      <c r="H41" s="213"/>
    </row>
    <row r="42" ht="78.75" customHeight="1">
      <c r="A42" s="214" t="s">
        <v>251</v>
      </c>
      <c r="B42" s="215" t="s">
        <v>252</v>
      </c>
      <c r="C42" s="216"/>
      <c r="E42" s="217" t="s">
        <v>253</v>
      </c>
      <c r="F42" s="218"/>
      <c r="G42" s="218"/>
      <c r="I42" s="219" t="s">
        <v>21</v>
      </c>
    </row>
    <row r="43" ht="18.75" customHeight="1">
      <c r="A43" s="214" t="s">
        <v>254</v>
      </c>
      <c r="B43" s="220" t="str">
        <f>IFERROR(__xludf.DUMMYFUNCTION("VLOOKUP(C43,IMPORTRANGE(""https://docs.google.com/spreadsheets/d/1oJmkDK37Qizzdaxn4KCwh1BMwdNWuHCx3AGH8BC9yu0/edit?gid=781951868#gid=781951868"",""キャラ!D:F""),3,false)"),"万物を統べる総組長 山城 恋")</f>
        <v>万物を統べる総組長 山城 恋</v>
      </c>
      <c r="C43" s="221" t="s">
        <v>255</v>
      </c>
      <c r="D43" s="222"/>
      <c r="E43" s="218"/>
      <c r="F43" s="218"/>
      <c r="I43" s="219" t="s">
        <v>21</v>
      </c>
    </row>
    <row r="44" ht="78.75" customHeight="1">
      <c r="A44" s="214" t="s">
        <v>256</v>
      </c>
      <c r="B44" s="223" t="s">
        <v>257</v>
      </c>
      <c r="C44" s="224"/>
      <c r="E44" s="217" t="s">
        <v>258</v>
      </c>
      <c r="F44" s="218"/>
      <c r="I44" s="219" t="s">
        <v>259</v>
      </c>
    </row>
    <row r="45" ht="78.75" customHeight="1">
      <c r="A45" s="214" t="s">
        <v>260</v>
      </c>
      <c r="B45" s="225" t="s">
        <v>261</v>
      </c>
      <c r="C45" s="226"/>
      <c r="E45" s="217" t="s">
        <v>253</v>
      </c>
      <c r="F45" s="219" t="s">
        <v>262</v>
      </c>
      <c r="I45" s="219" t="s">
        <v>21</v>
      </c>
    </row>
    <row r="46">
      <c r="A46" s="227" t="s">
        <v>263</v>
      </c>
      <c r="B46" s="204"/>
      <c r="C46" s="204"/>
      <c r="D46" s="204"/>
      <c r="E46" s="204"/>
      <c r="F46" s="204"/>
      <c r="G46" s="204"/>
      <c r="H46" s="205"/>
      <c r="I46" s="228" t="s">
        <v>21</v>
      </c>
    </row>
    <row r="47">
      <c r="A47" s="1"/>
      <c r="B47" s="1"/>
      <c r="C47" s="1"/>
      <c r="D47" s="1"/>
      <c r="E47" s="1"/>
      <c r="F47" s="1"/>
      <c r="G47" s="1"/>
      <c r="H47" s="206"/>
      <c r="I47" s="1"/>
    </row>
    <row r="48">
      <c r="A48" s="1"/>
      <c r="B48" s="229" t="s">
        <v>264</v>
      </c>
      <c r="C48" s="229" t="s">
        <v>265</v>
      </c>
      <c r="D48" s="229" t="s">
        <v>266</v>
      </c>
      <c r="E48" s="3" t="s">
        <v>267</v>
      </c>
      <c r="F48" s="1"/>
      <c r="G48" s="1"/>
      <c r="H48" s="206"/>
      <c r="I48" s="1"/>
    </row>
    <row r="49">
      <c r="A49" s="1" t="s">
        <v>268</v>
      </c>
      <c r="B49" s="230">
        <v>0.0075</v>
      </c>
      <c r="C49" s="231">
        <f t="shared" ref="C49:C53" si="1">countif($C$58:$C$112,A49)</f>
        <v>1</v>
      </c>
      <c r="D49" s="232">
        <f t="shared" ref="D49:D53" si="2">$D$54*B49</f>
        <v>3510</v>
      </c>
      <c r="E49" s="233">
        <f t="shared" ref="E49:E53" si="3">IFERROR(D49/C49,"0")</f>
        <v>3510</v>
      </c>
      <c r="F49" s="1"/>
      <c r="G49" s="1"/>
      <c r="H49" s="206"/>
      <c r="I49" s="1"/>
    </row>
    <row r="50">
      <c r="A50" s="1" t="s">
        <v>269</v>
      </c>
      <c r="B50" s="234">
        <v>0.0225</v>
      </c>
      <c r="C50" s="231">
        <f t="shared" si="1"/>
        <v>18</v>
      </c>
      <c r="D50" s="232">
        <f t="shared" si="2"/>
        <v>10530</v>
      </c>
      <c r="E50" s="233">
        <f t="shared" si="3"/>
        <v>585</v>
      </c>
      <c r="F50" s="1"/>
      <c r="G50" s="1"/>
      <c r="H50" s="206"/>
      <c r="I50" s="1"/>
    </row>
    <row r="51">
      <c r="A51" s="1" t="s">
        <v>270</v>
      </c>
      <c r="B51" s="234">
        <v>0.1</v>
      </c>
      <c r="C51" s="231">
        <f t="shared" si="1"/>
        <v>16</v>
      </c>
      <c r="D51" s="232">
        <f t="shared" si="2"/>
        <v>46800</v>
      </c>
      <c r="E51" s="233">
        <f t="shared" si="3"/>
        <v>2925</v>
      </c>
      <c r="F51" s="1"/>
      <c r="G51" s="1"/>
      <c r="H51" s="206"/>
      <c r="I51" s="1"/>
    </row>
    <row r="52">
      <c r="A52" s="1" t="s">
        <v>271</v>
      </c>
      <c r="B52" s="234">
        <v>0.35</v>
      </c>
      <c r="C52" s="231">
        <f t="shared" si="1"/>
        <v>10</v>
      </c>
      <c r="D52" s="232">
        <f t="shared" si="2"/>
        <v>163800</v>
      </c>
      <c r="E52" s="233">
        <f t="shared" si="3"/>
        <v>16380</v>
      </c>
      <c r="F52" s="1"/>
      <c r="G52" s="1"/>
      <c r="H52" s="206"/>
      <c r="I52" s="1"/>
    </row>
    <row r="53">
      <c r="A53" s="235" t="s">
        <v>272</v>
      </c>
      <c r="B53" s="236">
        <v>0.52</v>
      </c>
      <c r="C53" s="231">
        <f t="shared" si="1"/>
        <v>9</v>
      </c>
      <c r="D53" s="237">
        <f t="shared" si="2"/>
        <v>243360</v>
      </c>
      <c r="E53" s="233">
        <f t="shared" si="3"/>
        <v>27040</v>
      </c>
      <c r="F53" s="1"/>
      <c r="G53" s="1"/>
      <c r="H53" s="206"/>
      <c r="I53" s="1"/>
    </row>
    <row r="54">
      <c r="A54" s="231" t="s">
        <v>93</v>
      </c>
      <c r="B54" s="238">
        <f>sum(B49:B53)</f>
        <v>1</v>
      </c>
      <c r="C54" s="239">
        <f>COUNTA(B58:B112)</f>
        <v>54</v>
      </c>
      <c r="D54" s="240">
        <v>468000.0</v>
      </c>
      <c r="E54" s="241"/>
      <c r="F54" s="1"/>
      <c r="G54" s="1"/>
      <c r="H54" s="206"/>
      <c r="I54" s="1"/>
    </row>
    <row r="55">
      <c r="A55" s="68"/>
      <c r="B55" s="242"/>
      <c r="C55" s="231">
        <f>sum(C49:C53)</f>
        <v>54</v>
      </c>
      <c r="D55" s="68"/>
      <c r="E55" s="1"/>
      <c r="F55" s="1"/>
      <c r="G55" s="1"/>
      <c r="H55" s="206"/>
      <c r="I55" s="1"/>
    </row>
    <row r="56">
      <c r="A56" s="1"/>
      <c r="B56" s="1"/>
      <c r="C56" s="1"/>
      <c r="D56" s="1"/>
      <c r="E56" s="1"/>
      <c r="F56" s="1"/>
      <c r="G56" s="1"/>
      <c r="H56" s="206"/>
      <c r="I56" s="1"/>
    </row>
    <row r="57">
      <c r="A57" s="243" t="s">
        <v>273</v>
      </c>
      <c r="B57" s="244" t="s">
        <v>274</v>
      </c>
      <c r="C57" s="244" t="s">
        <v>275</v>
      </c>
      <c r="D57" s="245" t="s">
        <v>276</v>
      </c>
      <c r="E57" s="246" t="s">
        <v>277</v>
      </c>
      <c r="F57" s="247" t="s">
        <v>278</v>
      </c>
      <c r="G57" s="1"/>
      <c r="H57" s="206"/>
      <c r="I57" s="1"/>
    </row>
    <row r="58">
      <c r="A58" s="248" t="s">
        <v>255</v>
      </c>
      <c r="B58" s="249" t="str">
        <f>IFERROR(__xludf.DUMMYFUNCTION("VLOOKUP(A58,IMPORTRANGE(""https://docs.google.com/spreadsheets/d/1oJmkDK37Qizzdaxn4KCwh1BMwdNWuHCx3AGH8BC9yu0/edit?gid=781951868#gid=781951868"",""キャラ!D:F""),3,false)"),"万物を統べる総組長 山城 恋")</f>
        <v>万物を統べる総組長 山城 恋</v>
      </c>
      <c r="C58" s="250" t="s">
        <v>268</v>
      </c>
      <c r="D58" s="251">
        <f t="shared" ref="D58:D60" si="4">vlookup(C58,$A$49:$D$53,4,false)/vlookup(C58,$A$49:$D$53,3,false)</f>
        <v>3510</v>
      </c>
      <c r="E58" s="252">
        <f>IFERROR(rounddown(F58/$C$49,5),"0%")</f>
        <v>0.0075</v>
      </c>
      <c r="F58" s="253">
        <v>0.0075</v>
      </c>
      <c r="G58" s="68"/>
      <c r="H58" s="206"/>
      <c r="I58" s="1"/>
    </row>
    <row r="59">
      <c r="A59" s="254" t="s">
        <v>279</v>
      </c>
      <c r="B59" s="249" t="str">
        <f>IFERROR(__xludf.DUMMYFUNCTION("VLOOKUP(A59,IMPORTRANGE(""https://docs.google.com/spreadsheets/d/1oJmkDK37Qizzdaxn4KCwh1BMwdNWuHCx3AGH8BC9yu0/edit?gid=781951868#gid=781951868"",""キャラ!D:F""),3,false)"),"第三部隊隊長 亜白 ミナ")</f>
        <v>第三部隊隊長 亜白 ミナ</v>
      </c>
      <c r="C59" s="255" t="s">
        <v>269</v>
      </c>
      <c r="D59" s="256">
        <f t="shared" si="4"/>
        <v>585</v>
      </c>
      <c r="E59" s="252">
        <f t="shared" ref="E59:E60" si="5">IFERROR(rounddown($F$59/$C$50,5),"0%")</f>
        <v>0.00125</v>
      </c>
      <c r="F59" s="253">
        <v>0.0225</v>
      </c>
      <c r="G59" s="1"/>
      <c r="H59" s="206"/>
      <c r="I59" s="1"/>
    </row>
    <row r="60">
      <c r="A60" s="254" t="s">
        <v>280</v>
      </c>
      <c r="B60" s="249" t="str">
        <f>IFERROR(__xludf.DUMMYFUNCTION("VLOOKUP(A60,IMPORTRANGE(""https://docs.google.com/spreadsheets/d/1oJmkDK37Qizzdaxn4KCwh1BMwdNWuHCx3AGH8BC9yu0/edit?gid=781951868#gid=781951868"",""キャラ!D:F""),3,false)"),"姉を想う盲愛 ユーリ・ブライア")</f>
        <v>姉を想う盲愛 ユーリ・ブライア</v>
      </c>
      <c r="C60" s="255" t="s">
        <v>269</v>
      </c>
      <c r="D60" s="256">
        <f t="shared" si="4"/>
        <v>585</v>
      </c>
      <c r="E60" s="252">
        <f t="shared" si="5"/>
        <v>0.00125</v>
      </c>
      <c r="F60" s="257"/>
      <c r="G60" s="1"/>
      <c r="H60" s="206"/>
      <c r="I60" s="1"/>
    </row>
    <row r="61">
      <c r="A61" s="258" t="s">
        <v>281</v>
      </c>
      <c r="B61" s="259" t="str">
        <f>IFERROR(__xludf.DUMMYFUNCTION("VLOOKUP(A61,IMPORTRANGE(""https://docs.google.com/spreadsheets/d/1oJmkDK37Qizzdaxn4KCwh1BMwdNWuHCx3AGH8BC9yu0/edit?gid=781951868#gid=781951868"",""キャラ!D:F""),3,false)"),"復讐を誓う片星 星野 アクア")</f>
        <v>復讐を誓う片星 星野 アクア</v>
      </c>
      <c r="C61" s="260" t="s">
        <v>269</v>
      </c>
      <c r="D61" s="261">
        <v>0.0</v>
      </c>
      <c r="E61" s="262">
        <v>0.0</v>
      </c>
      <c r="F61" s="257"/>
      <c r="G61" s="1"/>
      <c r="H61" s="206"/>
      <c r="I61" s="1"/>
    </row>
    <row r="62">
      <c r="A62" s="258" t="s">
        <v>282</v>
      </c>
      <c r="B62" s="259" t="str">
        <f>IFERROR(__xludf.DUMMYFUNCTION("VLOOKUP(A62,IMPORTRANGE(""https://docs.google.com/spreadsheets/d/1oJmkDK37Qizzdaxn4KCwh1BMwdNWuHCx3AGH8BC9yu0/edit?gid=781951868#gid=781951868"",""キャラ!D:F""),3,false)"),"賊王 亜左 弔兵衛")</f>
        <v>賊王 亜左 弔兵衛</v>
      </c>
      <c r="C62" s="260" t="s">
        <v>269</v>
      </c>
      <c r="D62" s="261">
        <v>0.0</v>
      </c>
      <c r="E62" s="262">
        <v>0.0</v>
      </c>
      <c r="F62" s="257"/>
      <c r="G62" s="1"/>
      <c r="H62" s="206"/>
      <c r="I62" s="1"/>
    </row>
    <row r="63">
      <c r="A63" s="258" t="s">
        <v>283</v>
      </c>
      <c r="B63" s="259" t="str">
        <f>IFERROR(__xludf.DUMMYFUNCTION("VLOOKUP(A63,IMPORTRANGE(""https://docs.google.com/spreadsheets/d/1oJmkDK37Qizzdaxn4KCwh1BMwdNWuHCx3AGH8BC9yu0/edit?gid=781951868#gid=781951868"",""キャラ!D:F""),3,false)"),"元殺し屋の新人教諭 リタ")</f>
        <v>元殺し屋の新人教諭 リタ</v>
      </c>
      <c r="C63" s="260" t="s">
        <v>269</v>
      </c>
      <c r="D63" s="261">
        <v>0.0</v>
      </c>
      <c r="E63" s="262">
        <v>0.0</v>
      </c>
      <c r="F63" s="257"/>
      <c r="G63" s="1"/>
      <c r="H63" s="206"/>
      <c r="I63" s="1"/>
    </row>
    <row r="64">
      <c r="A64" s="263" t="s">
        <v>284</v>
      </c>
      <c r="B64" s="249" t="str">
        <f>IFERROR(__xludf.DUMMYFUNCTION("VLOOKUP(A64,IMPORTRANGE(""https://docs.google.com/spreadsheets/d/1oJmkDK37Qizzdaxn4KCwh1BMwdNWuHCx3AGH8BC9yu0/edit?gid=781951868#gid=781951868"",""キャラ!D:F""),3,false)"),"&lt;黄昏&gt; ロイド")</f>
        <v>&lt;黄昏&gt; ロイド</v>
      </c>
      <c r="C64" s="255" t="s">
        <v>269</v>
      </c>
      <c r="D64" s="256">
        <f t="shared" ref="D64:D77" si="6">vlookup(C64,$A$49:$D$53,4,false)/vlookup(C64,$A$49:$D$53,3,false)</f>
        <v>585</v>
      </c>
      <c r="E64" s="252">
        <f t="shared" ref="E64:E76" si="7">IFERROR(rounddown($F$59/$C$50,5),"0%")</f>
        <v>0.00125</v>
      </c>
      <c r="F64" s="257"/>
      <c r="G64" s="1"/>
      <c r="H64" s="206"/>
      <c r="I64" s="1"/>
    </row>
    <row r="65">
      <c r="A65" s="263" t="s">
        <v>285</v>
      </c>
      <c r="B65" s="249" t="str">
        <f>IFERROR(__xludf.DUMMYFUNCTION("VLOOKUP(A65,IMPORTRANGE(""https://docs.google.com/spreadsheets/d/1oJmkDK37Qizzdaxn4KCwh1BMwdNWuHCx3AGH8BC9yu0/edit?gid=781951868#gid=781951868"",""キャラ!D:F""),3,false)"),"&lt;いばら姫&gt; ヨル")</f>
        <v>&lt;いばら姫&gt; ヨル</v>
      </c>
      <c r="C65" s="255" t="s">
        <v>269</v>
      </c>
      <c r="D65" s="256">
        <f t="shared" si="6"/>
        <v>585</v>
      </c>
      <c r="E65" s="252">
        <f t="shared" si="7"/>
        <v>0.00125</v>
      </c>
      <c r="F65" s="257"/>
      <c r="G65" s="1"/>
      <c r="H65" s="206"/>
      <c r="I65" s="1"/>
    </row>
    <row r="66">
      <c r="A66" s="263" t="s">
        <v>286</v>
      </c>
      <c r="B66" s="249" t="str">
        <f>IFERROR(__xludf.DUMMYFUNCTION("VLOOKUP(A66,IMPORTRANGE(""https://docs.google.com/spreadsheets/d/1oJmkDK37Qizzdaxn4KCwh1BMwdNWuHCx3AGH8BC9yu0/edit?gid=781951868#gid=781951868"",""キャラ!D:F""),3,false)"),"わくわく アーニャ")</f>
        <v>わくわく アーニャ</v>
      </c>
      <c r="C66" s="255" t="s">
        <v>269</v>
      </c>
      <c r="D66" s="256">
        <f t="shared" si="6"/>
        <v>585</v>
      </c>
      <c r="E66" s="252">
        <f t="shared" si="7"/>
        <v>0.00125</v>
      </c>
      <c r="F66" s="257"/>
      <c r="G66" s="1"/>
      <c r="H66" s="206"/>
      <c r="I66" s="1"/>
    </row>
    <row r="67">
      <c r="A67" s="263" t="s">
        <v>287</v>
      </c>
      <c r="B67" s="249" t="str">
        <f>IFERROR(__xludf.DUMMYFUNCTION("VLOOKUP(A67,IMPORTRANGE(""https://docs.google.com/spreadsheets/d/1oJmkDK37Qizzdaxn4KCwh1BMwdNWuHCx3AGH8BC9yu0/edit?gid=781951868#gid=781951868"",""キャラ!D:F""),3,false)"),"ターボババアの霊力 オカルン")</f>
        <v>ターボババアの霊力 オカルン</v>
      </c>
      <c r="C67" s="255" t="s">
        <v>269</v>
      </c>
      <c r="D67" s="256">
        <f t="shared" si="6"/>
        <v>585</v>
      </c>
      <c r="E67" s="252">
        <f t="shared" si="7"/>
        <v>0.00125</v>
      </c>
      <c r="F67" s="257"/>
      <c r="G67" s="1"/>
      <c r="H67" s="206"/>
      <c r="I67" s="1"/>
    </row>
    <row r="68">
      <c r="A68" s="263" t="s">
        <v>288</v>
      </c>
      <c r="B68" s="249" t="str">
        <f>IFERROR(__xludf.DUMMYFUNCTION("VLOOKUP(A68,IMPORTRANGE(""https://docs.google.com/spreadsheets/d/1oJmkDK37Qizzdaxn4KCwh1BMwdNWuHCx3AGH8BC9yu0/edit?gid=781951868#gid=781951868"",""キャラ!D:F""),3,false)"),"囚われの王女 姫様")</f>
        <v>囚われの王女 姫様</v>
      </c>
      <c r="C68" s="255" t="s">
        <v>269</v>
      </c>
      <c r="D68" s="256">
        <f t="shared" si="6"/>
        <v>585</v>
      </c>
      <c r="E68" s="252">
        <f t="shared" si="7"/>
        <v>0.00125</v>
      </c>
      <c r="F68" s="257"/>
      <c r="G68" s="1"/>
      <c r="H68" s="206"/>
      <c r="I68" s="1"/>
    </row>
    <row r="69">
      <c r="A69" s="263" t="s">
        <v>289</v>
      </c>
      <c r="B69" s="249" t="str">
        <f>IFERROR(__xludf.DUMMYFUNCTION("VLOOKUP(A69,IMPORTRANGE(""https://docs.google.com/spreadsheets/d/1oJmkDK37Qizzdaxn4KCwh1BMwdNWuHCx3AGH8BC9yu0/edit?gid=781951868#gid=781951868"",""キャラ!D:F""),3,false)"),"悪魔が恐れる悪魔 チェンソーマン")</f>
        <v>悪魔が恐れる悪魔 チェンソーマン</v>
      </c>
      <c r="C69" s="255" t="s">
        <v>269</v>
      </c>
      <c r="D69" s="256">
        <f t="shared" si="6"/>
        <v>585</v>
      </c>
      <c r="E69" s="252">
        <f t="shared" si="7"/>
        <v>0.00125</v>
      </c>
      <c r="F69" s="257"/>
      <c r="G69" s="1"/>
      <c r="H69" s="206"/>
      <c r="I69" s="1"/>
    </row>
    <row r="70">
      <c r="A70" s="263" t="s">
        <v>290</v>
      </c>
      <c r="B70" s="249" t="str">
        <f>IFERROR(__xludf.DUMMYFUNCTION("VLOOKUP(A70,IMPORTRANGE(""https://docs.google.com/spreadsheets/d/1oJmkDK37Qizzdaxn4KCwh1BMwdNWuHCx3AGH8BC9yu0/edit?gid=781951868#gid=781951868"",""キャラ!D:F""),3,false)"),"隠された英雄の姿 怪獣８号")</f>
        <v>隠された英雄の姿 怪獣８号</v>
      </c>
      <c r="C70" s="255" t="s">
        <v>269</v>
      </c>
      <c r="D70" s="256">
        <f t="shared" si="6"/>
        <v>585</v>
      </c>
      <c r="E70" s="252">
        <f t="shared" si="7"/>
        <v>0.00125</v>
      </c>
      <c r="F70" s="257"/>
      <c r="G70" s="1"/>
      <c r="H70" s="206"/>
      <c r="I70" s="1"/>
    </row>
    <row r="71">
      <c r="A71" s="263" t="s">
        <v>291</v>
      </c>
      <c r="B71" s="249" t="str">
        <f>IFERROR(__xludf.DUMMYFUNCTION("VLOOKUP(A71,IMPORTRANGE(""https://docs.google.com/spreadsheets/d/1oJmkDK37Qizzdaxn4KCwh1BMwdNWuHCx3AGH8BC9yu0/edit?gid=781951868#gid=781951868"",""キャラ!D:F""),3,false)"),"リリエルに捧ぐ愛 天乃 リリサ")</f>
        <v>リリエルに捧ぐ愛 天乃 リリサ</v>
      </c>
      <c r="C71" s="255" t="s">
        <v>269</v>
      </c>
      <c r="D71" s="256">
        <f t="shared" si="6"/>
        <v>585</v>
      </c>
      <c r="E71" s="252">
        <f t="shared" si="7"/>
        <v>0.00125</v>
      </c>
      <c r="F71" s="257"/>
      <c r="G71" s="1"/>
      <c r="H71" s="206"/>
      <c r="I71" s="1"/>
    </row>
    <row r="72">
      <c r="A72" s="263" t="s">
        <v>292</v>
      </c>
      <c r="B72" s="249" t="str">
        <f>IFERROR(__xludf.DUMMYFUNCTION("VLOOKUP(A72,IMPORTRANGE(""https://docs.google.com/spreadsheets/d/1oJmkDK37Qizzdaxn4KCwh1BMwdNWuHCx3AGH8BC9yu0/edit?gid=781951868#gid=781951868"",""キャラ!D:F""),3,false)"),"コスプレに託す乙女心 橘 美花莉")</f>
        <v>コスプレに託す乙女心 橘 美花莉</v>
      </c>
      <c r="C72" s="255" t="s">
        <v>269</v>
      </c>
      <c r="D72" s="256">
        <f t="shared" si="6"/>
        <v>585</v>
      </c>
      <c r="E72" s="252">
        <f t="shared" si="7"/>
        <v>0.00125</v>
      </c>
      <c r="F72" s="257"/>
      <c r="G72" s="1"/>
      <c r="H72" s="206"/>
      <c r="I72" s="1"/>
    </row>
    <row r="73">
      <c r="A73" s="263" t="s">
        <v>293</v>
      </c>
      <c r="B73" s="249" t="str">
        <f>IFERROR(__xludf.DUMMYFUNCTION("VLOOKUP(A73,IMPORTRANGE(""https://docs.google.com/spreadsheets/d/1oJmkDK37Qizzdaxn4KCwh1BMwdNWuHCx3AGH8BC9yu0/edit?gid=781951868#gid=781951868"",""キャラ!D:F""),3,false)"),"誇り高き魔都の剣姫 羽前 京香")</f>
        <v>誇り高き魔都の剣姫 羽前 京香</v>
      </c>
      <c r="C73" s="255" t="s">
        <v>269</v>
      </c>
      <c r="D73" s="256">
        <f t="shared" si="6"/>
        <v>585</v>
      </c>
      <c r="E73" s="252">
        <f t="shared" si="7"/>
        <v>0.00125</v>
      </c>
      <c r="F73" s="257"/>
      <c r="G73" s="1"/>
      <c r="H73" s="206"/>
      <c r="I73" s="1"/>
    </row>
    <row r="74">
      <c r="A74" s="263" t="s">
        <v>294</v>
      </c>
      <c r="B74" s="249" t="str">
        <f>IFERROR(__xludf.DUMMYFUNCTION("VLOOKUP(A74,IMPORTRANGE(""https://docs.google.com/spreadsheets/d/1oJmkDK37Qizzdaxn4KCwh1BMwdNWuHCx3AGH8BC9yu0/edit?gid=781951868#gid=781951868"",""キャラ!D:F""),3,false)"),"がらんの画眉丸")</f>
        <v>がらんの画眉丸</v>
      </c>
      <c r="C74" s="255" t="s">
        <v>269</v>
      </c>
      <c r="D74" s="256">
        <f t="shared" si="6"/>
        <v>585</v>
      </c>
      <c r="E74" s="252">
        <f t="shared" si="7"/>
        <v>0.00125</v>
      </c>
      <c r="F74" s="257"/>
      <c r="G74" s="1"/>
      <c r="H74" s="206"/>
      <c r="I74" s="1"/>
    </row>
    <row r="75">
      <c r="A75" s="263" t="s">
        <v>295</v>
      </c>
      <c r="B75" s="249" t="str">
        <f>IFERROR(__xludf.DUMMYFUNCTION("VLOOKUP(A75,IMPORTRANGE(""https://docs.google.com/spreadsheets/d/1oJmkDK37Qizzdaxn4KCwh1BMwdNWuHCx3AGH8BC9yu0/edit?gid=781951868#gid=781951868"",""キャラ!D:F""),3,false)"),"新人魔法少女 桜木 カナ")</f>
        <v>新人魔法少女 桜木 カナ</v>
      </c>
      <c r="C75" s="255" t="s">
        <v>269</v>
      </c>
      <c r="D75" s="256">
        <f t="shared" si="6"/>
        <v>585</v>
      </c>
      <c r="E75" s="252">
        <f t="shared" si="7"/>
        <v>0.00125</v>
      </c>
      <c r="F75" s="257"/>
      <c r="G75" s="1"/>
      <c r="H75" s="206"/>
      <c r="I75" s="1"/>
    </row>
    <row r="76">
      <c r="A76" s="263" t="s">
        <v>296</v>
      </c>
      <c r="B76" s="249" t="str">
        <f>IFERROR(__xludf.DUMMYFUNCTION("VLOOKUP(A76,IMPORTRANGE(""https://docs.google.com/spreadsheets/d/1oJmkDK37Qizzdaxn4KCwh1BMwdNWuHCx3AGH8BC9yu0/edit?gid=781951868#gid=781951868"",""キャラ!D:F""),3,false)"),"影のウシオ 小舟 潮")</f>
        <v>影のウシオ 小舟 潮</v>
      </c>
      <c r="C76" s="255" t="s">
        <v>269</v>
      </c>
      <c r="D76" s="256">
        <f t="shared" si="6"/>
        <v>585</v>
      </c>
      <c r="E76" s="252">
        <f t="shared" si="7"/>
        <v>0.00125</v>
      </c>
      <c r="F76" s="264"/>
      <c r="G76" s="1"/>
      <c r="H76" s="206"/>
      <c r="I76" s="1"/>
    </row>
    <row r="77">
      <c r="A77" s="254" t="s">
        <v>297</v>
      </c>
      <c r="B77" s="249" t="str">
        <f>IFERROR(__xludf.DUMMYFUNCTION("VLOOKUP(A77,IMPORTRANGE(""https://docs.google.com/spreadsheets/d/1oJmkDK37Qizzdaxn4KCwh1BMwdNWuHCx3AGH8BC9yu0/edit?gid=781951868#gid=781951868"",""キャラ!D:F""),3,false)"),"保科 宗四郎")</f>
        <v>保科 宗四郎</v>
      </c>
      <c r="C77" s="265" t="s">
        <v>270</v>
      </c>
      <c r="D77" s="266">
        <f t="shared" si="6"/>
        <v>2925</v>
      </c>
      <c r="E77" s="252">
        <f>IFERROR(rounddown($F$77/$C$51,5),"0%")</f>
        <v>0.00625</v>
      </c>
      <c r="F77" s="267">
        <v>0.1</v>
      </c>
      <c r="G77" s="1"/>
      <c r="H77" s="206"/>
      <c r="I77" s="1"/>
    </row>
    <row r="78">
      <c r="A78" s="258" t="s">
        <v>298</v>
      </c>
      <c r="B78" s="259" t="str">
        <f>IFERROR(__xludf.DUMMYFUNCTION("VLOOKUP(A78,IMPORTRANGE(""https://docs.google.com/spreadsheets/d/1oJmkDK37Qizzdaxn4KCwh1BMwdNWuHCx3AGH8BC9yu0/edit?gid=781951868#gid=781951868"",""キャラ!D:F""),3,false)"),"星野 ルビー")</f>
        <v>星野 ルビー</v>
      </c>
      <c r="C78" s="260" t="s">
        <v>270</v>
      </c>
      <c r="D78" s="261">
        <v>0.0</v>
      </c>
      <c r="E78" s="262">
        <v>0.0</v>
      </c>
      <c r="F78" s="257"/>
      <c r="G78" s="1"/>
      <c r="H78" s="206"/>
      <c r="I78" s="1"/>
    </row>
    <row r="79">
      <c r="A79" s="258" t="s">
        <v>299</v>
      </c>
      <c r="B79" s="259" t="str">
        <f>IFERROR(__xludf.DUMMYFUNCTION("VLOOKUP(A79,IMPORTRANGE(""https://docs.google.com/spreadsheets/d/1oJmkDK37Qizzdaxn4KCwh1BMwdNWuHCx3AGH8BC9yu0/edit?gid=781951868#gid=781951868"",""キャラ!D:F""),3,false)"),"MEMちょ")</f>
        <v>MEMちょ</v>
      </c>
      <c r="C79" s="260" t="s">
        <v>270</v>
      </c>
      <c r="D79" s="261">
        <v>0.0</v>
      </c>
      <c r="E79" s="262">
        <v>0.0</v>
      </c>
      <c r="F79" s="257"/>
      <c r="G79" s="1"/>
      <c r="H79" s="206"/>
      <c r="I79" s="1"/>
    </row>
    <row r="80">
      <c r="A80" s="258" t="s">
        <v>300</v>
      </c>
      <c r="B80" s="259" t="str">
        <f>IFERROR(__xludf.DUMMYFUNCTION("VLOOKUP(A80,IMPORTRANGE(""https://docs.google.com/spreadsheets/d/1oJmkDK37Qizzdaxn4KCwh1BMwdNWuHCx3AGH8BC9yu0/edit?gid=781951868#gid=781951868"",""キャラ!D:F""),3,false)"),"有馬 かな")</f>
        <v>有馬 かな</v>
      </c>
      <c r="C80" s="260" t="s">
        <v>270</v>
      </c>
      <c r="D80" s="261">
        <v>0.0</v>
      </c>
      <c r="E80" s="262">
        <v>0.0</v>
      </c>
      <c r="F80" s="257"/>
      <c r="G80" s="1"/>
      <c r="H80" s="206"/>
      <c r="I80" s="1"/>
    </row>
    <row r="81">
      <c r="A81" s="258" t="s">
        <v>301</v>
      </c>
      <c r="B81" s="259" t="str">
        <f>IFERROR(__xludf.DUMMYFUNCTION("VLOOKUP(A81,IMPORTRANGE(""https://docs.google.com/spreadsheets/d/1oJmkDK37Qizzdaxn4KCwh1BMwdNWuHCx3AGH8BC9yu0/edit?gid=781951868#gid=781951868"",""キャラ!D:F""),3,false)"),"黒川 あかね")</f>
        <v>黒川 あかね</v>
      </c>
      <c r="C81" s="260" t="s">
        <v>270</v>
      </c>
      <c r="D81" s="261">
        <v>0.0</v>
      </c>
      <c r="E81" s="262">
        <v>0.0</v>
      </c>
      <c r="F81" s="257"/>
      <c r="G81" s="1"/>
      <c r="H81" s="206"/>
      <c r="I81" s="1"/>
    </row>
    <row r="82">
      <c r="A82" s="258" t="s">
        <v>302</v>
      </c>
      <c r="B82" s="259" t="str">
        <f>IFERROR(__xludf.DUMMYFUNCTION("VLOOKUP(A82,IMPORTRANGE(""https://docs.google.com/spreadsheets/d/1oJmkDK37Qizzdaxn4KCwh1BMwdNWuHCx3AGH8BC9yu0/edit?gid=781951868#gid=781951868"",""キャラ!D:F""),3,false)"),"山田浅ェ門 桐馬")</f>
        <v>山田浅ェ門 桐馬</v>
      </c>
      <c r="C82" s="260" t="s">
        <v>270</v>
      </c>
      <c r="D82" s="261">
        <v>0.0</v>
      </c>
      <c r="E82" s="262">
        <v>0.0</v>
      </c>
      <c r="F82" s="257"/>
      <c r="G82" s="1"/>
      <c r="H82" s="206"/>
      <c r="I82" s="1"/>
    </row>
    <row r="83">
      <c r="A83" s="258" t="s">
        <v>303</v>
      </c>
      <c r="B83" s="259" t="str">
        <f>IFERROR(__xludf.DUMMYFUNCTION("VLOOKUP(A83,IMPORTRANGE(""https://docs.google.com/spreadsheets/d/1oJmkDK37Qizzdaxn4KCwh1BMwdNWuHCx3AGH8BC9yu0/edit?gid=781951868#gid=781951868"",""キャラ!D:F""),3,false)"),"ルーク")</f>
        <v>ルーク</v>
      </c>
      <c r="C83" s="260" t="s">
        <v>270</v>
      </c>
      <c r="D83" s="261">
        <v>0.0</v>
      </c>
      <c r="E83" s="262">
        <v>0.0</v>
      </c>
      <c r="F83" s="257"/>
      <c r="G83" s="1"/>
      <c r="H83" s="206"/>
      <c r="I83" s="1"/>
    </row>
    <row r="84">
      <c r="A84" s="263" t="s">
        <v>304</v>
      </c>
      <c r="B84" s="249" t="str">
        <f>IFERROR(__xludf.DUMMYFUNCTION("VLOOKUP(A84,IMPORTRANGE(""https://docs.google.com/spreadsheets/d/1oJmkDK37Qizzdaxn4KCwh1BMwdNWuHCx3AGH8BC9yu0/edit?gid=781951868#gid=781951868"",""キャラ!D:F""),3,false)"),"モモ")</f>
        <v>モモ</v>
      </c>
      <c r="C84" s="265" t="s">
        <v>270</v>
      </c>
      <c r="D84" s="266">
        <f t="shared" ref="D84:D111" si="8">vlookup(C84,$A$49:$D$53,4,false)/vlookup(C84,$A$49:$D$53,3,false)</f>
        <v>2925</v>
      </c>
      <c r="E84" s="252">
        <f t="shared" ref="E84:E92" si="9">IFERROR(rounddown($F$77/$C$51,5),"0%")</f>
        <v>0.00625</v>
      </c>
      <c r="F84" s="257"/>
      <c r="G84" s="1"/>
      <c r="H84" s="206"/>
      <c r="I84" s="1"/>
    </row>
    <row r="85">
      <c r="A85" s="263" t="s">
        <v>305</v>
      </c>
      <c r="B85" s="249" t="str">
        <f>IFERROR(__xludf.DUMMYFUNCTION("VLOOKUP(A85,IMPORTRANGE(""https://docs.google.com/spreadsheets/d/1oJmkDK37Qizzdaxn4KCwh1BMwdNWuHCx3AGH8BC9yu0/edit?gid=781951868#gid=781951868"",""キャラ!D:F""),3,false)"),"早川 アキ")</f>
        <v>早川 アキ</v>
      </c>
      <c r="C85" s="265" t="s">
        <v>270</v>
      </c>
      <c r="D85" s="266">
        <f t="shared" si="8"/>
        <v>2925</v>
      </c>
      <c r="E85" s="252">
        <f t="shared" si="9"/>
        <v>0.00625</v>
      </c>
      <c r="F85" s="257"/>
      <c r="G85" s="1"/>
      <c r="H85" s="206"/>
      <c r="I85" s="1"/>
    </row>
    <row r="86">
      <c r="A86" s="263" t="s">
        <v>306</v>
      </c>
      <c r="B86" s="249" t="str">
        <f>IFERROR(__xludf.DUMMYFUNCTION("VLOOKUP(A86,IMPORTRANGE(""https://docs.google.com/spreadsheets/d/1oJmkDK37Qizzdaxn4KCwh1BMwdNWuHCx3AGH8BC9yu0/edit?gid=781951868#gid=781951868"",""キャラ!D:F""),3,false)"),"パワー")</f>
        <v>パワー</v>
      </c>
      <c r="C86" s="265" t="s">
        <v>270</v>
      </c>
      <c r="D86" s="266">
        <f t="shared" si="8"/>
        <v>2925</v>
      </c>
      <c r="E86" s="252">
        <f t="shared" si="9"/>
        <v>0.00625</v>
      </c>
      <c r="F86" s="257"/>
      <c r="G86" s="1"/>
      <c r="H86" s="206"/>
      <c r="I86" s="1"/>
    </row>
    <row r="87">
      <c r="A87" s="263" t="s">
        <v>307</v>
      </c>
      <c r="B87" s="249" t="str">
        <f>IFERROR(__xludf.DUMMYFUNCTION("VLOOKUP(A87,IMPORTRANGE(""https://docs.google.com/spreadsheets/d/1oJmkDK37Qizzdaxn4KCwh1BMwdNWuHCx3AGH8BC9yu0/edit?gid=781951868#gid=781951868"",""キャラ!D:F""),3,false)"),"四ノ宮 キコル")</f>
        <v>四ノ宮 キコル</v>
      </c>
      <c r="C87" s="265" t="s">
        <v>270</v>
      </c>
      <c r="D87" s="266">
        <f t="shared" si="8"/>
        <v>2925</v>
      </c>
      <c r="E87" s="252">
        <f t="shared" si="9"/>
        <v>0.00625</v>
      </c>
      <c r="F87" s="257"/>
      <c r="G87" s="1"/>
      <c r="H87" s="206"/>
      <c r="I87" s="1"/>
    </row>
    <row r="88">
      <c r="A88" s="263" t="s">
        <v>308</v>
      </c>
      <c r="B88" s="249" t="str">
        <f>IFERROR(__xludf.DUMMYFUNCTION("VLOOKUP(A88,IMPORTRANGE(""https://docs.google.com/spreadsheets/d/1oJmkDK37Qizzdaxn4KCwh1BMwdNWuHCx3AGH8BC9yu0/edit?gid=781951868#gid=781951868"",""キャラ!D:F""),3,false)"),"鴨乃橋 ロン")</f>
        <v>鴨乃橋 ロン</v>
      </c>
      <c r="C88" s="265" t="s">
        <v>270</v>
      </c>
      <c r="D88" s="266">
        <f t="shared" si="8"/>
        <v>2925</v>
      </c>
      <c r="E88" s="252">
        <f t="shared" si="9"/>
        <v>0.00625</v>
      </c>
      <c r="F88" s="257"/>
      <c r="G88" s="1"/>
      <c r="H88" s="206"/>
      <c r="I88" s="1"/>
    </row>
    <row r="89">
      <c r="A89" s="263" t="s">
        <v>309</v>
      </c>
      <c r="B89" s="249" t="str">
        <f>IFERROR(__xludf.DUMMYFUNCTION("VLOOKUP(A89,IMPORTRANGE(""https://docs.google.com/spreadsheets/d/1oJmkDK37Qizzdaxn4KCwh1BMwdNWuHCx3AGH8BC9yu0/edit?gid=781951868#gid=781951868"",""キャラ!D:F""),3,false)"),"阿波連 れいな")</f>
        <v>阿波連 れいな</v>
      </c>
      <c r="C89" s="265" t="s">
        <v>270</v>
      </c>
      <c r="D89" s="266">
        <f t="shared" si="8"/>
        <v>2925</v>
      </c>
      <c r="E89" s="252">
        <f t="shared" si="9"/>
        <v>0.00625</v>
      </c>
      <c r="F89" s="257"/>
      <c r="G89" s="1"/>
      <c r="H89" s="206"/>
      <c r="I89" s="1"/>
    </row>
    <row r="90">
      <c r="A90" s="263" t="s">
        <v>310</v>
      </c>
      <c r="B90" s="249" t="str">
        <f>IFERROR(__xludf.DUMMYFUNCTION("VLOOKUP(A90,IMPORTRANGE(""https://docs.google.com/spreadsheets/d/1oJmkDK37Qizzdaxn4KCwh1BMwdNWuHCx3AGH8BC9yu0/edit?gid=781951868#gid=781951868"",""キャラ!D:F""),3,false)"),"山田浅ェ門 佐切")</f>
        <v>山田浅ェ門 佐切</v>
      </c>
      <c r="C90" s="265" t="s">
        <v>270</v>
      </c>
      <c r="D90" s="266">
        <f t="shared" si="8"/>
        <v>2925</v>
      </c>
      <c r="E90" s="252">
        <f t="shared" si="9"/>
        <v>0.00625</v>
      </c>
      <c r="F90" s="257"/>
      <c r="G90" s="1"/>
      <c r="H90" s="206"/>
      <c r="I90" s="1"/>
    </row>
    <row r="91">
      <c r="A91" s="263" t="s">
        <v>311</v>
      </c>
      <c r="B91" s="249" t="str">
        <f>IFERROR(__xludf.DUMMYFUNCTION("VLOOKUP(A91,IMPORTRANGE(""https://docs.google.com/spreadsheets/d/1oJmkDK37Qizzdaxn4KCwh1BMwdNWuHCx3AGH8BC9yu0/edit?gid=781951868#gid=781951868"",""キャラ!D:F""),3,false)"),"冬木 美波")</f>
        <v>冬木 美波</v>
      </c>
      <c r="C91" s="265" t="s">
        <v>270</v>
      </c>
      <c r="D91" s="266">
        <f t="shared" si="8"/>
        <v>2925</v>
      </c>
      <c r="E91" s="252">
        <f t="shared" si="9"/>
        <v>0.00625</v>
      </c>
      <c r="F91" s="257"/>
      <c r="G91" s="68"/>
      <c r="H91" s="206"/>
      <c r="I91" s="1"/>
    </row>
    <row r="92">
      <c r="A92" s="263" t="s">
        <v>312</v>
      </c>
      <c r="B92" s="249" t="str">
        <f>IFERROR(__xludf.DUMMYFUNCTION("VLOOKUP(A92,IMPORTRANGE(""https://docs.google.com/spreadsheets/d/1oJmkDK37Qizzdaxn4KCwh1BMwdNWuHCx3AGH8BC9yu0/edit?gid=781951868#gid=781951868"",""キャラ!D:F""),3,false)"),"秋野 沙友理")</f>
        <v>秋野 沙友理</v>
      </c>
      <c r="C92" s="265" t="s">
        <v>270</v>
      </c>
      <c r="D92" s="266">
        <f t="shared" si="8"/>
        <v>2925</v>
      </c>
      <c r="E92" s="252">
        <f t="shared" si="9"/>
        <v>0.00625</v>
      </c>
      <c r="F92" s="257"/>
      <c r="G92" s="1"/>
      <c r="H92" s="206"/>
      <c r="I92" s="1"/>
    </row>
    <row r="93">
      <c r="A93" s="263" t="s">
        <v>313</v>
      </c>
      <c r="B93" s="249" t="str">
        <f>IFERROR(__xludf.DUMMYFUNCTION("VLOOKUP(A93,IMPORTRANGE(""https://docs.google.com/spreadsheets/d/1oJmkDK37Qizzdaxn4KCwh1BMwdNWuHCx3AGH8BC9yu0/edit?gid=781951868#gid=781951868"",""キャラ!D:F""),3,false)"),"トーチャー・トルチュール")</f>
        <v>トーチャー・トルチュール</v>
      </c>
      <c r="C93" s="268" t="s">
        <v>271</v>
      </c>
      <c r="D93" s="266">
        <f t="shared" si="8"/>
        <v>16380</v>
      </c>
      <c r="E93" s="252">
        <f t="shared" ref="E93:E102" si="10">IFERROR(rounddown($F$93/$C$52,5),"0%")</f>
        <v>0.035</v>
      </c>
      <c r="F93" s="253">
        <v>0.35</v>
      </c>
      <c r="G93" s="1"/>
      <c r="H93" s="206"/>
      <c r="I93" s="1"/>
    </row>
    <row r="94">
      <c r="A94" s="263" t="s">
        <v>314</v>
      </c>
      <c r="B94" s="249" t="str">
        <f>IFERROR(__xludf.DUMMYFUNCTION("VLOOKUP(A94,IMPORTRANGE(""https://docs.google.com/spreadsheets/d/1oJmkDK37Qizzdaxn4KCwh1BMwdNWuHCx3AGH8BC9yu0/edit?gid=781951868#gid=781951868"",""キャラ!D:F""),3,false)"),"清峰 葉流火")</f>
        <v>清峰 葉流火</v>
      </c>
      <c r="C94" s="268" t="s">
        <v>271</v>
      </c>
      <c r="D94" s="266">
        <f t="shared" si="8"/>
        <v>16380</v>
      </c>
      <c r="E94" s="252">
        <f t="shared" si="10"/>
        <v>0.035</v>
      </c>
      <c r="F94" s="257"/>
      <c r="G94" s="1"/>
      <c r="H94" s="206"/>
      <c r="I94" s="1"/>
    </row>
    <row r="95">
      <c r="A95" s="263" t="s">
        <v>315</v>
      </c>
      <c r="B95" s="249" t="str">
        <f>IFERROR(__xludf.DUMMYFUNCTION("VLOOKUP(A95,IMPORTRANGE(""https://docs.google.com/spreadsheets/d/1oJmkDK37Qizzdaxn4KCwh1BMwdNWuHCx3AGH8BC9yu0/edit?gid=781951868#gid=781951868"",""キャラ!D:F""),3,false)"),"要 圭")</f>
        <v>要 圭</v>
      </c>
      <c r="C95" s="268" t="s">
        <v>271</v>
      </c>
      <c r="D95" s="266">
        <f t="shared" si="8"/>
        <v>16380</v>
      </c>
      <c r="E95" s="252">
        <f t="shared" si="10"/>
        <v>0.035</v>
      </c>
      <c r="F95" s="257"/>
      <c r="G95" s="1"/>
      <c r="H95" s="206"/>
      <c r="I95" s="1"/>
    </row>
    <row r="96">
      <c r="A96" s="263" t="s">
        <v>316</v>
      </c>
      <c r="B96" s="249" t="str">
        <f>IFERROR(__xludf.DUMMYFUNCTION("VLOOKUP(A96,IMPORTRANGE(""https://docs.google.com/spreadsheets/d/1oJmkDK37Qizzdaxn4KCwh1BMwdNWuHCx3AGH8BC9yu0/edit?gid=781951868#gid=781951868"",""キャラ!D:F""),3,false)"),"市川 レノ")</f>
        <v>市川 レノ</v>
      </c>
      <c r="C96" s="268" t="s">
        <v>271</v>
      </c>
      <c r="D96" s="266">
        <f t="shared" si="8"/>
        <v>16380</v>
      </c>
      <c r="E96" s="252">
        <f t="shared" si="10"/>
        <v>0.035</v>
      </c>
      <c r="F96" s="257"/>
      <c r="G96" s="1"/>
      <c r="H96" s="206"/>
      <c r="I96" s="1"/>
    </row>
    <row r="97">
      <c r="A97" s="263" t="s">
        <v>317</v>
      </c>
      <c r="B97" s="249" t="str">
        <f>IFERROR(__xludf.DUMMYFUNCTION("VLOOKUP(A97,IMPORTRANGE(""https://docs.google.com/spreadsheets/d/1oJmkDK37Qizzdaxn4KCwh1BMwdNWuHCx3AGH8BC9yu0/edit?gid=781951868#gid=781951868"",""キャラ!D:F""),3,false)"),"東 日万凛")</f>
        <v>東 日万凛</v>
      </c>
      <c r="C97" s="268" t="s">
        <v>271</v>
      </c>
      <c r="D97" s="266">
        <f t="shared" si="8"/>
        <v>16380</v>
      </c>
      <c r="E97" s="252">
        <f t="shared" si="10"/>
        <v>0.035</v>
      </c>
      <c r="F97" s="257"/>
      <c r="G97" s="1"/>
      <c r="H97" s="206"/>
      <c r="I97" s="1"/>
    </row>
    <row r="98">
      <c r="A98" s="263" t="s">
        <v>318</v>
      </c>
      <c r="B98" s="249" t="str">
        <f>IFERROR(__xludf.DUMMYFUNCTION("VLOOKUP(A98,IMPORTRANGE(""https://docs.google.com/spreadsheets/d/1oJmkDK37Qizzdaxn4KCwh1BMwdNWuHCx3AGH8BC9yu0/edit?gid=781951868#gid=781951868"",""キャラ!D:F""),3,false)"),"駿河 朱々")</f>
        <v>駿河 朱々</v>
      </c>
      <c r="C98" s="268" t="s">
        <v>271</v>
      </c>
      <c r="D98" s="266">
        <f t="shared" si="8"/>
        <v>16380</v>
      </c>
      <c r="E98" s="252">
        <f t="shared" si="10"/>
        <v>0.035</v>
      </c>
      <c r="F98" s="257"/>
      <c r="G98" s="1"/>
      <c r="H98" s="206"/>
      <c r="I98" s="1"/>
    </row>
    <row r="99">
      <c r="A99" s="263" t="s">
        <v>319</v>
      </c>
      <c r="B99" s="249" t="str">
        <f>IFERROR(__xludf.DUMMYFUNCTION("VLOOKUP(A99,IMPORTRANGE(""https://docs.google.com/spreadsheets/d/1oJmkDK37Qizzdaxn4KCwh1BMwdNWuHCx3AGH8BC9yu0/edit?gid=781951868#gid=781951868"",""キャラ!D:F""),3,false)"),"ライドウ")</f>
        <v>ライドウ</v>
      </c>
      <c r="C99" s="268" t="s">
        <v>271</v>
      </c>
      <c r="D99" s="266">
        <f t="shared" si="8"/>
        <v>16380</v>
      </c>
      <c r="E99" s="252">
        <f t="shared" si="10"/>
        <v>0.035</v>
      </c>
      <c r="F99" s="257"/>
      <c r="G99" s="1"/>
      <c r="H99" s="206"/>
      <c r="I99" s="1"/>
    </row>
    <row r="100">
      <c r="A100" s="263" t="s">
        <v>320</v>
      </c>
      <c r="B100" s="249" t="str">
        <f>IFERROR(__xludf.DUMMYFUNCTION("VLOOKUP(A100,IMPORTRANGE(""https://docs.google.com/spreadsheets/d/1oJmkDK37Qizzdaxn4KCwh1BMwdNWuHCx3AGH8BC9yu0/edit?gid=781951868#gid=781951868"",""キャラ!D:F""),3,false)"),"山田浅ェ門 仙汰")</f>
        <v>山田浅ェ門 仙汰</v>
      </c>
      <c r="C100" s="268" t="s">
        <v>271</v>
      </c>
      <c r="D100" s="266">
        <f t="shared" si="8"/>
        <v>16380</v>
      </c>
      <c r="E100" s="252">
        <f t="shared" si="10"/>
        <v>0.035</v>
      </c>
      <c r="F100" s="257"/>
      <c r="G100" s="1"/>
      <c r="H100" s="206"/>
      <c r="I100" s="1"/>
    </row>
    <row r="101">
      <c r="A101" s="263" t="s">
        <v>321</v>
      </c>
      <c r="B101" s="249" t="str">
        <f>IFERROR(__xludf.DUMMYFUNCTION("VLOOKUP(A101,IMPORTRANGE(""https://docs.google.com/spreadsheets/d/1oJmkDK37Qizzdaxn4KCwh1BMwdNWuHCx3AGH8BC9yu0/edit?gid=781951868#gid=781951868"",""キャラ!D:F""),3,false)"),"越谷 仁美")</f>
        <v>越谷 仁美</v>
      </c>
      <c r="C101" s="268" t="s">
        <v>271</v>
      </c>
      <c r="D101" s="266">
        <f t="shared" si="8"/>
        <v>16380</v>
      </c>
      <c r="E101" s="252">
        <f t="shared" si="10"/>
        <v>0.035</v>
      </c>
      <c r="F101" s="257"/>
      <c r="G101" s="1"/>
      <c r="H101" s="206"/>
      <c r="I101" s="1"/>
    </row>
    <row r="102">
      <c r="A102" s="263" t="s">
        <v>322</v>
      </c>
      <c r="B102" s="249" t="str">
        <f>IFERROR(__xludf.DUMMYFUNCTION("VLOOKUP(A102,IMPORTRANGE(""https://docs.google.com/spreadsheets/d/1oJmkDK37Qizzdaxn4KCwh1BMwdNWuHCx3AGH8BC9yu0/edit?gid=781951868#gid=781951868"",""キャラ!D:F""),3,false)"),"小舟 澪")</f>
        <v>小舟 澪</v>
      </c>
      <c r="C102" s="268" t="s">
        <v>271</v>
      </c>
      <c r="D102" s="266">
        <f t="shared" si="8"/>
        <v>16380</v>
      </c>
      <c r="E102" s="252">
        <f t="shared" si="10"/>
        <v>0.035</v>
      </c>
      <c r="F102" s="264"/>
      <c r="G102" s="1"/>
      <c r="H102" s="206"/>
      <c r="I102" s="1"/>
    </row>
    <row r="103">
      <c r="A103" s="263" t="s">
        <v>323</v>
      </c>
      <c r="B103" s="249" t="str">
        <f>IFERROR(__xludf.DUMMYFUNCTION("VLOOKUP(A103,IMPORTRANGE(""https://docs.google.com/spreadsheets/d/1oJmkDK37Qizzdaxn4KCwh1BMwdNWuHCx3AGH8BC9yu0/edit?gid=781951868#gid=781951868"",""キャラ!D:F""),3,false)"),"佐々木")</f>
        <v>佐々木</v>
      </c>
      <c r="C103" s="269" t="s">
        <v>272</v>
      </c>
      <c r="D103" s="266">
        <f t="shared" si="8"/>
        <v>27040</v>
      </c>
      <c r="E103" s="252">
        <f t="shared" ref="E103:E111" si="11">IFERROR(rounddown($F$103/$C$53,5),"0%")</f>
        <v>0.05777</v>
      </c>
      <c r="F103" s="253">
        <v>0.52</v>
      </c>
      <c r="G103" s="1"/>
      <c r="H103" s="206"/>
      <c r="I103" s="1"/>
    </row>
    <row r="104">
      <c r="A104" s="263" t="s">
        <v>324</v>
      </c>
      <c r="B104" s="249" t="str">
        <f>IFERROR(__xludf.DUMMYFUNCTION("VLOOKUP(A104,IMPORTRANGE(""https://docs.google.com/spreadsheets/d/1oJmkDK37Qizzdaxn4KCwh1BMwdNWuHCx3AGH8BC9yu0/edit?gid=781951868#gid=781951868"",""キャラ!D:F""),3,false)"),"文蔵")</f>
        <v>文蔵</v>
      </c>
      <c r="C104" s="269" t="s">
        <v>272</v>
      </c>
      <c r="D104" s="266">
        <f t="shared" si="8"/>
        <v>27040</v>
      </c>
      <c r="E104" s="252">
        <f t="shared" si="11"/>
        <v>0.05777</v>
      </c>
      <c r="F104" s="257"/>
      <c r="G104" s="1"/>
      <c r="H104" s="206"/>
      <c r="I104" s="1"/>
    </row>
    <row r="105">
      <c r="A105" s="263" t="s">
        <v>325</v>
      </c>
      <c r="B105" s="249" t="str">
        <f>IFERROR(__xludf.DUMMYFUNCTION("VLOOKUP(A105,IMPORTRANGE(""https://docs.google.com/spreadsheets/d/1oJmkDK37Qizzdaxn4KCwh1BMwdNWuHCx3AGH8BC9yu0/edit?gid=781951868#gid=781951868"",""キャラ!D:F""),3,false)"),"リコピン")</f>
        <v>リコピン</v>
      </c>
      <c r="C105" s="269" t="s">
        <v>272</v>
      </c>
      <c r="D105" s="266">
        <f t="shared" si="8"/>
        <v>27040</v>
      </c>
      <c r="E105" s="252">
        <f t="shared" si="11"/>
        <v>0.05777</v>
      </c>
      <c r="F105" s="257"/>
      <c r="G105" s="1"/>
      <c r="H105" s="206"/>
      <c r="I105" s="1"/>
    </row>
    <row r="106">
      <c r="A106" s="263" t="s">
        <v>326</v>
      </c>
      <c r="B106" s="249" t="str">
        <f>IFERROR(__xludf.DUMMYFUNCTION("VLOOKUP(A106,IMPORTRANGE(""https://docs.google.com/spreadsheets/d/1oJmkDK37Qizzdaxn4KCwh1BMwdNWuHCx3AGH8BC9yu0/edit?gid=781951868#gid=781951868"",""キャラ!D:F""),3,false)"),"一色 都々丸")</f>
        <v>一色 都々丸</v>
      </c>
      <c r="C106" s="269" t="s">
        <v>272</v>
      </c>
      <c r="D106" s="266">
        <f t="shared" si="8"/>
        <v>27040</v>
      </c>
      <c r="E106" s="252">
        <f t="shared" si="11"/>
        <v>0.05777</v>
      </c>
      <c r="F106" s="257"/>
      <c r="G106" s="1"/>
      <c r="H106" s="206"/>
      <c r="I106" s="1"/>
    </row>
    <row r="107">
      <c r="A107" s="263" t="s">
        <v>327</v>
      </c>
      <c r="B107" s="249" t="str">
        <f>IFERROR(__xludf.DUMMYFUNCTION("VLOOKUP(A107,IMPORTRANGE(""https://docs.google.com/spreadsheets/d/1oJmkDK37Qizzdaxn4KCwh1BMwdNWuHCx3AGH8BC9yu0/edit?gid=781951868#gid=781951868"",""キャラ!D:F""),3,false)"),"オカルン")</f>
        <v>オカルン</v>
      </c>
      <c r="C107" s="269" t="s">
        <v>272</v>
      </c>
      <c r="D107" s="266">
        <f t="shared" si="8"/>
        <v>27040</v>
      </c>
      <c r="E107" s="252">
        <f t="shared" si="11"/>
        <v>0.05777</v>
      </c>
      <c r="F107" s="257"/>
      <c r="G107" s="1"/>
      <c r="H107" s="206"/>
      <c r="I107" s="1"/>
    </row>
    <row r="108">
      <c r="A108" s="263" t="s">
        <v>328</v>
      </c>
      <c r="B108" s="249" t="str">
        <f>IFERROR(__xludf.DUMMYFUNCTION("VLOOKUP(A108,IMPORTRANGE(""https://docs.google.com/spreadsheets/d/1oJmkDK37Qizzdaxn4KCwh1BMwdNWuHCx3AGH8BC9yu0/edit?gid=781951868#gid=781951868"",""キャラ!D:F""),3,false)"),"デンジ")</f>
        <v>デンジ</v>
      </c>
      <c r="C108" s="269" t="s">
        <v>272</v>
      </c>
      <c r="D108" s="266">
        <f t="shared" si="8"/>
        <v>27040</v>
      </c>
      <c r="E108" s="252">
        <f t="shared" si="11"/>
        <v>0.05777</v>
      </c>
      <c r="F108" s="257"/>
      <c r="G108" s="1"/>
      <c r="H108" s="206"/>
      <c r="I108" s="1"/>
    </row>
    <row r="109">
      <c r="A109" s="263" t="s">
        <v>329</v>
      </c>
      <c r="B109" s="249" t="str">
        <f>IFERROR(__xludf.DUMMYFUNCTION("VLOOKUP(A109,IMPORTRANGE(""https://docs.google.com/spreadsheets/d/1oJmkDK37Qizzdaxn4KCwh1BMwdNWuHCx3AGH8BC9yu0/edit?gid=781951868#gid=781951868"",""キャラ!D:F""),3,false)"),"日比野 カフカ")</f>
        <v>日比野 カフカ</v>
      </c>
      <c r="C109" s="269" t="s">
        <v>272</v>
      </c>
      <c r="D109" s="266">
        <f t="shared" si="8"/>
        <v>27040</v>
      </c>
      <c r="E109" s="252">
        <f t="shared" si="11"/>
        <v>0.05777</v>
      </c>
      <c r="F109" s="257"/>
      <c r="G109" s="1"/>
      <c r="H109" s="206"/>
      <c r="I109" s="1"/>
    </row>
    <row r="110">
      <c r="A110" s="263" t="s">
        <v>330</v>
      </c>
      <c r="B110" s="249" t="str">
        <f>IFERROR(__xludf.DUMMYFUNCTION("VLOOKUP(A110,IMPORTRANGE(""https://docs.google.com/spreadsheets/d/1oJmkDK37Qizzdaxn4KCwh1BMwdNWuHCx3AGH8BC9yu0/edit?gid=781951868#gid=781951868"",""キャラ!D:F""),3,false)"),"和倉 優希")</f>
        <v>和倉 優希</v>
      </c>
      <c r="C110" s="269" t="s">
        <v>272</v>
      </c>
      <c r="D110" s="266">
        <f t="shared" si="8"/>
        <v>27040</v>
      </c>
      <c r="E110" s="252">
        <f t="shared" si="11"/>
        <v>0.05777</v>
      </c>
      <c r="F110" s="257"/>
      <c r="G110" s="1"/>
      <c r="H110" s="1"/>
      <c r="I110" s="1"/>
    </row>
    <row r="111">
      <c r="A111" s="263" t="s">
        <v>331</v>
      </c>
      <c r="B111" s="249" t="str">
        <f>IFERROR(__xludf.DUMMYFUNCTION("VLOOKUP(A111,IMPORTRANGE(""https://docs.google.com/spreadsheets/d/1oJmkDK37Qizzdaxn4KCwh1BMwdNWuHCx3AGH8BC9yu0/edit?gid=781951868#gid=781951868"",""キャラ!D:F""),3,false)"),"網代 慎平")</f>
        <v>網代 慎平</v>
      </c>
      <c r="C111" s="269" t="s">
        <v>272</v>
      </c>
      <c r="D111" s="266">
        <f t="shared" si="8"/>
        <v>27040</v>
      </c>
      <c r="E111" s="252">
        <f t="shared" si="11"/>
        <v>0.05777</v>
      </c>
      <c r="F111" s="264"/>
      <c r="G111" s="1"/>
      <c r="H111" s="1"/>
      <c r="I111" s="1"/>
    </row>
    <row r="112">
      <c r="A112" s="68"/>
      <c r="B112" s="68"/>
      <c r="C112" s="68"/>
      <c r="D112" s="1"/>
      <c r="E112" s="270">
        <f t="shared" ref="E112:F112" si="12">sum(E58:E111)</f>
        <v>0.95868</v>
      </c>
      <c r="F112" s="271">
        <f t="shared" si="12"/>
        <v>1</v>
      </c>
      <c r="G112" s="1"/>
      <c r="H112" s="1"/>
      <c r="I112" s="1"/>
    </row>
    <row r="113">
      <c r="A113" s="68"/>
      <c r="B113" s="68"/>
      <c r="C113" s="68"/>
      <c r="D113" s="1"/>
      <c r="E113" s="130"/>
      <c r="F113" s="272"/>
      <c r="G113" s="1"/>
      <c r="H113" s="1"/>
      <c r="I113" s="1"/>
    </row>
    <row r="114">
      <c r="A114" s="273" t="s">
        <v>332</v>
      </c>
      <c r="B114" s="203"/>
      <c r="C114" s="203"/>
      <c r="D114" s="204"/>
      <c r="E114" s="274"/>
      <c r="F114" s="275"/>
      <c r="G114" s="204"/>
      <c r="H114" s="205"/>
      <c r="I114" s="1"/>
    </row>
    <row r="115">
      <c r="A115" s="68"/>
      <c r="B115" s="68"/>
      <c r="C115" s="68"/>
      <c r="D115" s="1"/>
      <c r="E115" s="130"/>
      <c r="F115" s="272"/>
      <c r="G115" s="1"/>
      <c r="H115" s="206"/>
      <c r="I115" s="1"/>
    </row>
    <row r="116">
      <c r="A116" s="68"/>
      <c r="B116" s="276" t="s">
        <v>264</v>
      </c>
      <c r="C116" s="276" t="s">
        <v>265</v>
      </c>
      <c r="D116" s="229" t="s">
        <v>266</v>
      </c>
      <c r="E116" s="277" t="s">
        <v>267</v>
      </c>
      <c r="F116" s="272"/>
      <c r="G116" s="1"/>
      <c r="H116" s="206"/>
      <c r="I116" s="1"/>
    </row>
    <row r="117">
      <c r="A117" s="68" t="s">
        <v>268</v>
      </c>
      <c r="B117" s="230">
        <v>0.0075</v>
      </c>
      <c r="C117" s="278">
        <f t="shared" ref="C117:C118" si="13">countif($C$125:$C$147,A117)</f>
        <v>1</v>
      </c>
      <c r="D117" s="232">
        <f t="shared" ref="D117:D119" si="14">$D$121*B117</f>
        <v>216</v>
      </c>
      <c r="E117" s="233">
        <f t="shared" ref="E117:E119" si="15">IFERROR(D117/C117,"0")</f>
        <v>216</v>
      </c>
      <c r="F117" s="272"/>
      <c r="G117" s="1"/>
      <c r="H117" s="206"/>
      <c r="I117" s="1"/>
    </row>
    <row r="118">
      <c r="A118" s="68" t="s">
        <v>269</v>
      </c>
      <c r="B118" s="234">
        <v>0.0225</v>
      </c>
      <c r="C118" s="278">
        <f t="shared" si="13"/>
        <v>18</v>
      </c>
      <c r="D118" s="232">
        <f t="shared" si="14"/>
        <v>648</v>
      </c>
      <c r="E118" s="233">
        <f t="shared" si="15"/>
        <v>36</v>
      </c>
      <c r="F118" s="272"/>
      <c r="G118" s="1"/>
      <c r="H118" s="206"/>
      <c r="I118" s="1"/>
    </row>
    <row r="119">
      <c r="A119" s="279" t="s">
        <v>270</v>
      </c>
      <c r="B119" s="234">
        <v>0.97</v>
      </c>
      <c r="C119" s="278">
        <f>countif($C$125:$C$159,A119)</f>
        <v>16</v>
      </c>
      <c r="D119" s="232">
        <f t="shared" si="14"/>
        <v>27936</v>
      </c>
      <c r="E119" s="233">
        <f t="shared" si="15"/>
        <v>1746</v>
      </c>
      <c r="F119" s="272"/>
      <c r="G119" s="1"/>
      <c r="H119" s="206"/>
      <c r="I119" s="1"/>
    </row>
    <row r="120">
      <c r="A120" s="280"/>
      <c r="B120" s="281"/>
      <c r="C120" s="68"/>
      <c r="D120" s="282"/>
      <c r="E120" s="241"/>
      <c r="F120" s="272"/>
      <c r="G120" s="1"/>
      <c r="H120" s="206"/>
      <c r="I120" s="1"/>
    </row>
    <row r="121">
      <c r="A121" s="278" t="s">
        <v>93</v>
      </c>
      <c r="B121" s="238">
        <f t="shared" ref="B121:C121" si="16">sum(B117:B120)</f>
        <v>1</v>
      </c>
      <c r="C121" s="283">
        <f t="shared" si="16"/>
        <v>35</v>
      </c>
      <c r="D121" s="240">
        <v>28800.0</v>
      </c>
      <c r="E121" s="130"/>
      <c r="F121" s="272"/>
      <c r="G121" s="1"/>
      <c r="H121" s="206"/>
      <c r="I121" s="1"/>
    </row>
    <row r="122">
      <c r="A122" s="68"/>
      <c r="B122" s="242"/>
      <c r="C122" s="278">
        <f>COUNTA(C125:C1159)</f>
        <v>35</v>
      </c>
      <c r="D122" s="284"/>
      <c r="E122" s="130"/>
      <c r="F122" s="272"/>
      <c r="G122" s="1"/>
      <c r="H122" s="206"/>
      <c r="I122" s="1"/>
    </row>
    <row r="123">
      <c r="A123" s="68"/>
      <c r="B123" s="242"/>
      <c r="C123" s="68"/>
      <c r="D123" s="284"/>
      <c r="E123" s="130"/>
      <c r="F123" s="272"/>
      <c r="G123" s="1"/>
      <c r="H123" s="206"/>
      <c r="I123" s="1"/>
    </row>
    <row r="124">
      <c r="A124" s="243" t="s">
        <v>273</v>
      </c>
      <c r="B124" s="244" t="s">
        <v>274</v>
      </c>
      <c r="C124" s="244" t="s">
        <v>275</v>
      </c>
      <c r="D124" s="245" t="s">
        <v>276</v>
      </c>
      <c r="E124" s="246" t="s">
        <v>277</v>
      </c>
      <c r="F124" s="247" t="s">
        <v>278</v>
      </c>
      <c r="G124" s="1"/>
      <c r="H124" s="206"/>
      <c r="I124" s="1"/>
    </row>
    <row r="125">
      <c r="A125" s="248" t="s">
        <v>255</v>
      </c>
      <c r="B125" s="249" t="str">
        <f>IFERROR(__xludf.DUMMYFUNCTION("VLOOKUP(A125,IMPORTRANGE(""https://docs.google.com/spreadsheets/d/1oJmkDK37Qizzdaxn4KCwh1BMwdNWuHCx3AGH8BC9yu0/edit?gid=781951868#gid=781951868"",""キャラ!D:F""),3,false)"),"万物を統べる総組長 山城 恋")</f>
        <v>万物を統べる総組長 山城 恋</v>
      </c>
      <c r="C125" s="250" t="s">
        <v>268</v>
      </c>
      <c r="D125" s="251">
        <f t="shared" ref="D125:D127" si="17">vlookup(C125,$A$117:$D$120,4,false)/vlookup(C125,$A$117:$D$120,3,false)</f>
        <v>216</v>
      </c>
      <c r="E125" s="252">
        <f>IFERROR(rounddown(F125/$C$49,5),"0%")</f>
        <v>0.0075</v>
      </c>
      <c r="F125" s="253">
        <v>0.0075</v>
      </c>
      <c r="G125" s="68"/>
      <c r="H125" s="206"/>
      <c r="I125" s="1"/>
    </row>
    <row r="126">
      <c r="A126" s="254" t="s">
        <v>279</v>
      </c>
      <c r="B126" s="249" t="str">
        <f>IFERROR(__xludf.DUMMYFUNCTION("VLOOKUP(A126,IMPORTRANGE(""https://docs.google.com/spreadsheets/d/1oJmkDK37Qizzdaxn4KCwh1BMwdNWuHCx3AGH8BC9yu0/edit?gid=781951868#gid=781951868"",""キャラ!D:F""),3,false)"),"第三部隊隊長 亜白 ミナ")</f>
        <v>第三部隊隊長 亜白 ミナ</v>
      </c>
      <c r="C126" s="255" t="s">
        <v>269</v>
      </c>
      <c r="D126" s="251">
        <f t="shared" si="17"/>
        <v>36</v>
      </c>
      <c r="E126" s="252">
        <f t="shared" ref="E126:E127" si="18">IFERROR(rounddown($F$126/$C$118,5),"0%")</f>
        <v>0.00125</v>
      </c>
      <c r="F126" s="253">
        <v>0.0225</v>
      </c>
      <c r="G126" s="1"/>
      <c r="H126" s="206"/>
      <c r="I126" s="1"/>
    </row>
    <row r="127">
      <c r="A127" s="254" t="s">
        <v>280</v>
      </c>
      <c r="B127" s="249" t="str">
        <f>IFERROR(__xludf.DUMMYFUNCTION("VLOOKUP(A127,IMPORTRANGE(""https://docs.google.com/spreadsheets/d/1oJmkDK37Qizzdaxn4KCwh1BMwdNWuHCx3AGH8BC9yu0/edit?gid=781951868#gid=781951868"",""キャラ!D:F""),3,false)"),"姉を想う盲愛 ユーリ・ブライア")</f>
        <v>姉を想う盲愛 ユーリ・ブライア</v>
      </c>
      <c r="C127" s="255" t="s">
        <v>269</v>
      </c>
      <c r="D127" s="251">
        <f t="shared" si="17"/>
        <v>36</v>
      </c>
      <c r="E127" s="252">
        <f t="shared" si="18"/>
        <v>0.00125</v>
      </c>
      <c r="F127" s="257"/>
      <c r="G127" s="1"/>
      <c r="H127" s="206"/>
      <c r="I127" s="1"/>
    </row>
    <row r="128">
      <c r="A128" s="258" t="s">
        <v>281</v>
      </c>
      <c r="B128" s="259" t="str">
        <f>IFERROR(__xludf.DUMMYFUNCTION("VLOOKUP(A128,IMPORTRANGE(""https://docs.google.com/spreadsheets/d/1oJmkDK37Qizzdaxn4KCwh1BMwdNWuHCx3AGH8BC9yu0/edit?gid=781951868#gid=781951868"",""キャラ!D:F""),3,false)"),"復讐を誓う片星 星野 アクア")</f>
        <v>復讐を誓う片星 星野 アクア</v>
      </c>
      <c r="C128" s="260" t="s">
        <v>269</v>
      </c>
      <c r="D128" s="261">
        <v>0.0</v>
      </c>
      <c r="E128" s="262">
        <v>0.0</v>
      </c>
      <c r="F128" s="257"/>
      <c r="G128" s="1"/>
      <c r="H128" s="206"/>
      <c r="I128" s="1"/>
    </row>
    <row r="129">
      <c r="A129" s="258" t="s">
        <v>282</v>
      </c>
      <c r="B129" s="259" t="str">
        <f>IFERROR(__xludf.DUMMYFUNCTION("VLOOKUP(A129,IMPORTRANGE(""https://docs.google.com/spreadsheets/d/1oJmkDK37Qizzdaxn4KCwh1BMwdNWuHCx3AGH8BC9yu0/edit?gid=781951868#gid=781951868"",""キャラ!D:F""),3,false)"),"賊王 亜左 弔兵衛")</f>
        <v>賊王 亜左 弔兵衛</v>
      </c>
      <c r="C129" s="260" t="s">
        <v>269</v>
      </c>
      <c r="D129" s="261">
        <v>0.0</v>
      </c>
      <c r="E129" s="262">
        <v>0.0</v>
      </c>
      <c r="F129" s="257"/>
      <c r="G129" s="1"/>
      <c r="H129" s="206"/>
      <c r="I129" s="1"/>
    </row>
    <row r="130">
      <c r="A130" s="258" t="s">
        <v>283</v>
      </c>
      <c r="B130" s="259" t="str">
        <f>IFERROR(__xludf.DUMMYFUNCTION("VLOOKUP(A130,IMPORTRANGE(""https://docs.google.com/spreadsheets/d/1oJmkDK37Qizzdaxn4KCwh1BMwdNWuHCx3AGH8BC9yu0/edit?gid=781951868#gid=781951868"",""キャラ!D:F""),3,false)"),"元殺し屋の新人教諭 リタ")</f>
        <v>元殺し屋の新人教諭 リタ</v>
      </c>
      <c r="C130" s="260" t="s">
        <v>269</v>
      </c>
      <c r="D130" s="261">
        <v>0.0</v>
      </c>
      <c r="E130" s="262">
        <v>0.0</v>
      </c>
      <c r="F130" s="257"/>
      <c r="G130" s="1"/>
      <c r="H130" s="206"/>
      <c r="I130" s="1"/>
    </row>
    <row r="131">
      <c r="A131" s="263" t="s">
        <v>284</v>
      </c>
      <c r="B131" s="249" t="str">
        <f>IFERROR(__xludf.DUMMYFUNCTION("VLOOKUP(A131,IMPORTRANGE(""https://docs.google.com/spreadsheets/d/1oJmkDK37Qizzdaxn4KCwh1BMwdNWuHCx3AGH8BC9yu0/edit?gid=781951868#gid=781951868"",""キャラ!D:F""),3,false)"),"&lt;黄昏&gt; ロイド")</f>
        <v>&lt;黄昏&gt; ロイド</v>
      </c>
      <c r="C131" s="255" t="s">
        <v>269</v>
      </c>
      <c r="D131" s="251">
        <f t="shared" ref="D131:D144" si="19">vlookup(C131,$A$117:$D$120,4,false)/vlookup(C131,$A$117:$D$120,3,false)</f>
        <v>36</v>
      </c>
      <c r="E131" s="252">
        <f t="shared" ref="E131:E143" si="20">IFERROR(rounddown($F$126/$C$118,5),"0%")</f>
        <v>0.00125</v>
      </c>
      <c r="F131" s="257"/>
      <c r="G131" s="1"/>
      <c r="H131" s="206"/>
      <c r="I131" s="1"/>
    </row>
    <row r="132">
      <c r="A132" s="263" t="s">
        <v>285</v>
      </c>
      <c r="B132" s="249" t="str">
        <f>IFERROR(__xludf.DUMMYFUNCTION("VLOOKUP(A132,IMPORTRANGE(""https://docs.google.com/spreadsheets/d/1oJmkDK37Qizzdaxn4KCwh1BMwdNWuHCx3AGH8BC9yu0/edit?gid=781951868#gid=781951868"",""キャラ!D:F""),3,false)"),"&lt;いばら姫&gt; ヨル")</f>
        <v>&lt;いばら姫&gt; ヨル</v>
      </c>
      <c r="C132" s="255" t="s">
        <v>269</v>
      </c>
      <c r="D132" s="251">
        <f t="shared" si="19"/>
        <v>36</v>
      </c>
      <c r="E132" s="252">
        <f t="shared" si="20"/>
        <v>0.00125</v>
      </c>
      <c r="F132" s="257"/>
      <c r="G132" s="1"/>
      <c r="H132" s="206"/>
      <c r="I132" s="1"/>
    </row>
    <row r="133">
      <c r="A133" s="263" t="s">
        <v>286</v>
      </c>
      <c r="B133" s="249" t="str">
        <f>IFERROR(__xludf.DUMMYFUNCTION("VLOOKUP(A133,IMPORTRANGE(""https://docs.google.com/spreadsheets/d/1oJmkDK37Qizzdaxn4KCwh1BMwdNWuHCx3AGH8BC9yu0/edit?gid=781951868#gid=781951868"",""キャラ!D:F""),3,false)"),"わくわく アーニャ")</f>
        <v>わくわく アーニャ</v>
      </c>
      <c r="C133" s="255" t="s">
        <v>269</v>
      </c>
      <c r="D133" s="251">
        <f t="shared" si="19"/>
        <v>36</v>
      </c>
      <c r="E133" s="252">
        <f t="shared" si="20"/>
        <v>0.00125</v>
      </c>
      <c r="F133" s="257"/>
      <c r="G133" s="1"/>
      <c r="H133" s="206"/>
      <c r="I133" s="1"/>
    </row>
    <row r="134">
      <c r="A134" s="263" t="s">
        <v>287</v>
      </c>
      <c r="B134" s="249" t="str">
        <f>IFERROR(__xludf.DUMMYFUNCTION("VLOOKUP(A134,IMPORTRANGE(""https://docs.google.com/spreadsheets/d/1oJmkDK37Qizzdaxn4KCwh1BMwdNWuHCx3AGH8BC9yu0/edit?gid=781951868#gid=781951868"",""キャラ!D:F""),3,false)"),"ターボババアの霊力 オカルン")</f>
        <v>ターボババアの霊力 オカルン</v>
      </c>
      <c r="C134" s="255" t="s">
        <v>269</v>
      </c>
      <c r="D134" s="251">
        <f t="shared" si="19"/>
        <v>36</v>
      </c>
      <c r="E134" s="252">
        <f t="shared" si="20"/>
        <v>0.00125</v>
      </c>
      <c r="F134" s="257"/>
      <c r="G134" s="1"/>
      <c r="H134" s="206"/>
      <c r="I134" s="1"/>
    </row>
    <row r="135">
      <c r="A135" s="263" t="s">
        <v>288</v>
      </c>
      <c r="B135" s="249" t="str">
        <f>IFERROR(__xludf.DUMMYFUNCTION("VLOOKUP(A135,IMPORTRANGE(""https://docs.google.com/spreadsheets/d/1oJmkDK37Qizzdaxn4KCwh1BMwdNWuHCx3AGH8BC9yu0/edit?gid=781951868#gid=781951868"",""キャラ!D:F""),3,false)"),"囚われの王女 姫様")</f>
        <v>囚われの王女 姫様</v>
      </c>
      <c r="C135" s="255" t="s">
        <v>269</v>
      </c>
      <c r="D135" s="251">
        <f t="shared" si="19"/>
        <v>36</v>
      </c>
      <c r="E135" s="252">
        <f t="shared" si="20"/>
        <v>0.00125</v>
      </c>
      <c r="F135" s="257"/>
      <c r="G135" s="1"/>
      <c r="H135" s="206"/>
      <c r="I135" s="1"/>
    </row>
    <row r="136">
      <c r="A136" s="263" t="s">
        <v>289</v>
      </c>
      <c r="B136" s="249" t="str">
        <f>IFERROR(__xludf.DUMMYFUNCTION("VLOOKUP(A136,IMPORTRANGE(""https://docs.google.com/spreadsheets/d/1oJmkDK37Qizzdaxn4KCwh1BMwdNWuHCx3AGH8BC9yu0/edit?gid=781951868#gid=781951868"",""キャラ!D:F""),3,false)"),"悪魔が恐れる悪魔 チェンソーマン")</f>
        <v>悪魔が恐れる悪魔 チェンソーマン</v>
      </c>
      <c r="C136" s="255" t="s">
        <v>269</v>
      </c>
      <c r="D136" s="251">
        <f t="shared" si="19"/>
        <v>36</v>
      </c>
      <c r="E136" s="252">
        <f t="shared" si="20"/>
        <v>0.00125</v>
      </c>
      <c r="F136" s="257"/>
      <c r="G136" s="1"/>
      <c r="H136" s="206"/>
      <c r="I136" s="1"/>
    </row>
    <row r="137">
      <c r="A137" s="263" t="s">
        <v>290</v>
      </c>
      <c r="B137" s="249" t="str">
        <f>IFERROR(__xludf.DUMMYFUNCTION("VLOOKUP(A137,IMPORTRANGE(""https://docs.google.com/spreadsheets/d/1oJmkDK37Qizzdaxn4KCwh1BMwdNWuHCx3AGH8BC9yu0/edit?gid=781951868#gid=781951868"",""キャラ!D:F""),3,false)"),"隠された英雄の姿 怪獣８号")</f>
        <v>隠された英雄の姿 怪獣８号</v>
      </c>
      <c r="C137" s="255" t="s">
        <v>269</v>
      </c>
      <c r="D137" s="251">
        <f t="shared" si="19"/>
        <v>36</v>
      </c>
      <c r="E137" s="252">
        <f t="shared" si="20"/>
        <v>0.00125</v>
      </c>
      <c r="F137" s="257"/>
      <c r="G137" s="1"/>
      <c r="H137" s="206"/>
      <c r="I137" s="1"/>
    </row>
    <row r="138">
      <c r="A138" s="263" t="s">
        <v>291</v>
      </c>
      <c r="B138" s="249" t="str">
        <f>IFERROR(__xludf.DUMMYFUNCTION("VLOOKUP(A138,IMPORTRANGE(""https://docs.google.com/spreadsheets/d/1oJmkDK37Qizzdaxn4KCwh1BMwdNWuHCx3AGH8BC9yu0/edit?gid=781951868#gid=781951868"",""キャラ!D:F""),3,false)"),"リリエルに捧ぐ愛 天乃 リリサ")</f>
        <v>リリエルに捧ぐ愛 天乃 リリサ</v>
      </c>
      <c r="C138" s="255" t="s">
        <v>269</v>
      </c>
      <c r="D138" s="251">
        <f t="shared" si="19"/>
        <v>36</v>
      </c>
      <c r="E138" s="252">
        <f t="shared" si="20"/>
        <v>0.00125</v>
      </c>
      <c r="F138" s="257"/>
      <c r="G138" s="1"/>
      <c r="H138" s="206"/>
      <c r="I138" s="1"/>
    </row>
    <row r="139">
      <c r="A139" s="263" t="s">
        <v>292</v>
      </c>
      <c r="B139" s="249" t="str">
        <f>IFERROR(__xludf.DUMMYFUNCTION("VLOOKUP(A139,IMPORTRANGE(""https://docs.google.com/spreadsheets/d/1oJmkDK37Qizzdaxn4KCwh1BMwdNWuHCx3AGH8BC9yu0/edit?gid=781951868#gid=781951868"",""キャラ!D:F""),3,false)"),"コスプレに託す乙女心 橘 美花莉")</f>
        <v>コスプレに託す乙女心 橘 美花莉</v>
      </c>
      <c r="C139" s="255" t="s">
        <v>269</v>
      </c>
      <c r="D139" s="251">
        <f t="shared" si="19"/>
        <v>36</v>
      </c>
      <c r="E139" s="252">
        <f t="shared" si="20"/>
        <v>0.00125</v>
      </c>
      <c r="F139" s="257"/>
      <c r="G139" s="1"/>
      <c r="H139" s="206"/>
      <c r="I139" s="1"/>
    </row>
    <row r="140">
      <c r="A140" s="263" t="s">
        <v>293</v>
      </c>
      <c r="B140" s="249" t="str">
        <f>IFERROR(__xludf.DUMMYFUNCTION("VLOOKUP(A140,IMPORTRANGE(""https://docs.google.com/spreadsheets/d/1oJmkDK37Qizzdaxn4KCwh1BMwdNWuHCx3AGH8BC9yu0/edit?gid=781951868#gid=781951868"",""キャラ!D:F""),3,false)"),"誇り高き魔都の剣姫 羽前 京香")</f>
        <v>誇り高き魔都の剣姫 羽前 京香</v>
      </c>
      <c r="C140" s="255" t="s">
        <v>269</v>
      </c>
      <c r="D140" s="251">
        <f t="shared" si="19"/>
        <v>36</v>
      </c>
      <c r="E140" s="252">
        <f t="shared" si="20"/>
        <v>0.00125</v>
      </c>
      <c r="F140" s="257"/>
      <c r="G140" s="1"/>
      <c r="H140" s="206"/>
      <c r="I140" s="1"/>
    </row>
    <row r="141">
      <c r="A141" s="263" t="s">
        <v>294</v>
      </c>
      <c r="B141" s="249" t="str">
        <f>IFERROR(__xludf.DUMMYFUNCTION("VLOOKUP(A141,IMPORTRANGE(""https://docs.google.com/spreadsheets/d/1oJmkDK37Qizzdaxn4KCwh1BMwdNWuHCx3AGH8BC9yu0/edit?gid=781951868#gid=781951868"",""キャラ!D:F""),3,false)"),"がらんの画眉丸")</f>
        <v>がらんの画眉丸</v>
      </c>
      <c r="C141" s="255" t="s">
        <v>269</v>
      </c>
      <c r="D141" s="251">
        <f t="shared" si="19"/>
        <v>36</v>
      </c>
      <c r="E141" s="252">
        <f t="shared" si="20"/>
        <v>0.00125</v>
      </c>
      <c r="F141" s="257"/>
      <c r="G141" s="1"/>
      <c r="H141" s="206"/>
      <c r="I141" s="1"/>
    </row>
    <row r="142">
      <c r="A142" s="263" t="s">
        <v>295</v>
      </c>
      <c r="B142" s="249" t="str">
        <f>IFERROR(__xludf.DUMMYFUNCTION("VLOOKUP(A142,IMPORTRANGE(""https://docs.google.com/spreadsheets/d/1oJmkDK37Qizzdaxn4KCwh1BMwdNWuHCx3AGH8BC9yu0/edit?gid=781951868#gid=781951868"",""キャラ!D:F""),3,false)"),"新人魔法少女 桜木 カナ")</f>
        <v>新人魔法少女 桜木 カナ</v>
      </c>
      <c r="C142" s="255" t="s">
        <v>269</v>
      </c>
      <c r="D142" s="251">
        <f t="shared" si="19"/>
        <v>36</v>
      </c>
      <c r="E142" s="252">
        <f t="shared" si="20"/>
        <v>0.00125</v>
      </c>
      <c r="F142" s="257"/>
      <c r="G142" s="1"/>
      <c r="H142" s="206"/>
      <c r="I142" s="1"/>
    </row>
    <row r="143">
      <c r="A143" s="263" t="s">
        <v>296</v>
      </c>
      <c r="B143" s="249" t="str">
        <f>IFERROR(__xludf.DUMMYFUNCTION("VLOOKUP(A143,IMPORTRANGE(""https://docs.google.com/spreadsheets/d/1oJmkDK37Qizzdaxn4KCwh1BMwdNWuHCx3AGH8BC9yu0/edit?gid=781951868#gid=781951868"",""キャラ!D:F""),3,false)"),"影のウシオ 小舟 潮")</f>
        <v>影のウシオ 小舟 潮</v>
      </c>
      <c r="C143" s="255" t="s">
        <v>269</v>
      </c>
      <c r="D143" s="251">
        <f t="shared" si="19"/>
        <v>36</v>
      </c>
      <c r="E143" s="252">
        <f t="shared" si="20"/>
        <v>0.00125</v>
      </c>
      <c r="F143" s="264"/>
      <c r="G143" s="1"/>
      <c r="H143" s="206"/>
      <c r="I143" s="1"/>
    </row>
    <row r="144">
      <c r="A144" s="254" t="s">
        <v>297</v>
      </c>
      <c r="B144" s="249" t="str">
        <f>IFERROR(__xludf.DUMMYFUNCTION("VLOOKUP(A144,IMPORTRANGE(""https://docs.google.com/spreadsheets/d/1oJmkDK37Qizzdaxn4KCwh1BMwdNWuHCx3AGH8BC9yu0/edit?gid=781951868#gid=781951868"",""キャラ!D:F""),3,false)"),"保科 宗四郎")</f>
        <v>保科 宗四郎</v>
      </c>
      <c r="C144" s="265" t="s">
        <v>270</v>
      </c>
      <c r="D144" s="251">
        <f t="shared" si="19"/>
        <v>1746</v>
      </c>
      <c r="E144" s="252">
        <f>IFERROR(rounddown($F$144/$C$119,5),"0%")</f>
        <v>0.06062</v>
      </c>
      <c r="F144" s="285">
        <v>0.97</v>
      </c>
      <c r="G144" s="1"/>
      <c r="H144" s="206"/>
      <c r="I144" s="1"/>
    </row>
    <row r="145">
      <c r="A145" s="258" t="s">
        <v>298</v>
      </c>
      <c r="B145" s="259" t="str">
        <f>IFERROR(__xludf.DUMMYFUNCTION("VLOOKUP(A145,IMPORTRANGE(""https://docs.google.com/spreadsheets/d/1oJmkDK37Qizzdaxn4KCwh1BMwdNWuHCx3AGH8BC9yu0/edit?gid=781951868#gid=781951868"",""キャラ!D:F""),3,false)"),"星野 ルビー")</f>
        <v>星野 ルビー</v>
      </c>
      <c r="C145" s="260" t="s">
        <v>270</v>
      </c>
      <c r="D145" s="261">
        <v>0.0</v>
      </c>
      <c r="E145" s="262">
        <v>0.0</v>
      </c>
      <c r="F145" s="257"/>
      <c r="G145" s="1"/>
      <c r="H145" s="206"/>
      <c r="I145" s="1"/>
    </row>
    <row r="146">
      <c r="A146" s="258" t="s">
        <v>299</v>
      </c>
      <c r="B146" s="259" t="str">
        <f>IFERROR(__xludf.DUMMYFUNCTION("VLOOKUP(A146,IMPORTRANGE(""https://docs.google.com/spreadsheets/d/1oJmkDK37Qizzdaxn4KCwh1BMwdNWuHCx3AGH8BC9yu0/edit?gid=781951868#gid=781951868"",""キャラ!D:F""),3,false)"),"MEMちょ")</f>
        <v>MEMちょ</v>
      </c>
      <c r="C146" s="260" t="s">
        <v>270</v>
      </c>
      <c r="D146" s="261">
        <v>0.0</v>
      </c>
      <c r="E146" s="262">
        <v>0.0</v>
      </c>
      <c r="F146" s="257"/>
      <c r="G146" s="1"/>
      <c r="H146" s="206"/>
      <c r="I146" s="1"/>
    </row>
    <row r="147">
      <c r="A147" s="258" t="s">
        <v>300</v>
      </c>
      <c r="B147" s="259" t="str">
        <f>IFERROR(__xludf.DUMMYFUNCTION("VLOOKUP(A147,IMPORTRANGE(""https://docs.google.com/spreadsheets/d/1oJmkDK37Qizzdaxn4KCwh1BMwdNWuHCx3AGH8BC9yu0/edit?gid=781951868#gid=781951868"",""キャラ!D:F""),3,false)"),"有馬 かな")</f>
        <v>有馬 かな</v>
      </c>
      <c r="C147" s="260" t="s">
        <v>270</v>
      </c>
      <c r="D147" s="261">
        <v>0.0</v>
      </c>
      <c r="E147" s="262">
        <v>0.0</v>
      </c>
      <c r="F147" s="257"/>
      <c r="G147" s="1"/>
      <c r="H147" s="206"/>
      <c r="I147" s="1"/>
    </row>
    <row r="148">
      <c r="A148" s="258" t="s">
        <v>301</v>
      </c>
      <c r="B148" s="259" t="str">
        <f>IFERROR(__xludf.DUMMYFUNCTION("VLOOKUP(A148,IMPORTRANGE(""https://docs.google.com/spreadsheets/d/1oJmkDK37Qizzdaxn4KCwh1BMwdNWuHCx3AGH8BC9yu0/edit?gid=781951868#gid=781951868"",""キャラ!D:F""),3,false)"),"黒川 あかね")</f>
        <v>黒川 あかね</v>
      </c>
      <c r="C148" s="260" t="s">
        <v>270</v>
      </c>
      <c r="D148" s="261">
        <v>0.0</v>
      </c>
      <c r="E148" s="262">
        <v>0.0</v>
      </c>
      <c r="F148" s="257"/>
      <c r="G148" s="1"/>
      <c r="H148" s="206"/>
      <c r="I148" s="1"/>
    </row>
    <row r="149">
      <c r="A149" s="258" t="s">
        <v>302</v>
      </c>
      <c r="B149" s="259" t="str">
        <f>IFERROR(__xludf.DUMMYFUNCTION("VLOOKUP(A149,IMPORTRANGE(""https://docs.google.com/spreadsheets/d/1oJmkDK37Qizzdaxn4KCwh1BMwdNWuHCx3AGH8BC9yu0/edit?gid=781951868#gid=781951868"",""キャラ!D:F""),3,false)"),"山田浅ェ門 桐馬")</f>
        <v>山田浅ェ門 桐馬</v>
      </c>
      <c r="C149" s="260" t="s">
        <v>270</v>
      </c>
      <c r="D149" s="261">
        <v>0.0</v>
      </c>
      <c r="E149" s="262">
        <v>0.0</v>
      </c>
      <c r="F149" s="257"/>
      <c r="G149" s="1"/>
      <c r="H149" s="206"/>
      <c r="I149" s="1"/>
    </row>
    <row r="150">
      <c r="A150" s="258" t="s">
        <v>303</v>
      </c>
      <c r="B150" s="259" t="str">
        <f>IFERROR(__xludf.DUMMYFUNCTION("VLOOKUP(A150,IMPORTRANGE(""https://docs.google.com/spreadsheets/d/1oJmkDK37Qizzdaxn4KCwh1BMwdNWuHCx3AGH8BC9yu0/edit?gid=781951868#gid=781951868"",""キャラ!D:F""),3,false)"),"ルーク")</f>
        <v>ルーク</v>
      </c>
      <c r="C150" s="260" t="s">
        <v>270</v>
      </c>
      <c r="D150" s="261">
        <v>0.0</v>
      </c>
      <c r="E150" s="262">
        <v>0.0</v>
      </c>
      <c r="F150" s="257"/>
      <c r="G150" s="1"/>
      <c r="H150" s="206"/>
      <c r="I150" s="1"/>
    </row>
    <row r="151">
      <c r="A151" s="263" t="s">
        <v>304</v>
      </c>
      <c r="B151" s="249" t="str">
        <f>IFERROR(__xludf.DUMMYFUNCTION("VLOOKUP(A151,IMPORTRANGE(""https://docs.google.com/spreadsheets/d/1oJmkDK37Qizzdaxn4KCwh1BMwdNWuHCx3AGH8BC9yu0/edit?gid=781951868#gid=781951868"",""キャラ!D:F""),3,false)"),"モモ")</f>
        <v>モモ</v>
      </c>
      <c r="C151" s="265" t="s">
        <v>270</v>
      </c>
      <c r="D151" s="251">
        <f t="shared" ref="D151:D159" si="21">vlookup(C151,$A$117:$D$120,4,false)/vlookup(C151,$A$117:$D$120,3,false)</f>
        <v>1746</v>
      </c>
      <c r="E151" s="252">
        <f t="shared" ref="E151:E159" si="22">IFERROR(rounddown($F$144/$C$119,5),"0%")</f>
        <v>0.06062</v>
      </c>
      <c r="F151" s="257"/>
      <c r="G151" s="1"/>
      <c r="H151" s="206"/>
      <c r="I151" s="1"/>
    </row>
    <row r="152">
      <c r="A152" s="263" t="s">
        <v>305</v>
      </c>
      <c r="B152" s="249" t="str">
        <f>IFERROR(__xludf.DUMMYFUNCTION("VLOOKUP(A152,IMPORTRANGE(""https://docs.google.com/spreadsheets/d/1oJmkDK37Qizzdaxn4KCwh1BMwdNWuHCx3AGH8BC9yu0/edit?gid=781951868#gid=781951868"",""キャラ!D:F""),3,false)"),"早川 アキ")</f>
        <v>早川 アキ</v>
      </c>
      <c r="C152" s="265" t="s">
        <v>270</v>
      </c>
      <c r="D152" s="251">
        <f t="shared" si="21"/>
        <v>1746</v>
      </c>
      <c r="E152" s="252">
        <f t="shared" si="22"/>
        <v>0.06062</v>
      </c>
      <c r="F152" s="257"/>
      <c r="G152" s="1"/>
      <c r="H152" s="206"/>
      <c r="I152" s="1"/>
    </row>
    <row r="153">
      <c r="A153" s="263" t="s">
        <v>306</v>
      </c>
      <c r="B153" s="249" t="str">
        <f>IFERROR(__xludf.DUMMYFUNCTION("VLOOKUP(A153,IMPORTRANGE(""https://docs.google.com/spreadsheets/d/1oJmkDK37Qizzdaxn4KCwh1BMwdNWuHCx3AGH8BC9yu0/edit?gid=781951868#gid=781951868"",""キャラ!D:F""),3,false)"),"パワー")</f>
        <v>パワー</v>
      </c>
      <c r="C153" s="265" t="s">
        <v>270</v>
      </c>
      <c r="D153" s="251">
        <f t="shared" si="21"/>
        <v>1746</v>
      </c>
      <c r="E153" s="252">
        <f t="shared" si="22"/>
        <v>0.06062</v>
      </c>
      <c r="F153" s="257"/>
      <c r="G153" s="1"/>
      <c r="H153" s="206"/>
      <c r="I153" s="1"/>
    </row>
    <row r="154">
      <c r="A154" s="263" t="s">
        <v>307</v>
      </c>
      <c r="B154" s="249" t="str">
        <f>IFERROR(__xludf.DUMMYFUNCTION("VLOOKUP(A154,IMPORTRANGE(""https://docs.google.com/spreadsheets/d/1oJmkDK37Qizzdaxn4KCwh1BMwdNWuHCx3AGH8BC9yu0/edit?gid=781951868#gid=781951868"",""キャラ!D:F""),3,false)"),"四ノ宮 キコル")</f>
        <v>四ノ宮 キコル</v>
      </c>
      <c r="C154" s="265" t="s">
        <v>270</v>
      </c>
      <c r="D154" s="251">
        <f t="shared" si="21"/>
        <v>1746</v>
      </c>
      <c r="E154" s="252">
        <f t="shared" si="22"/>
        <v>0.06062</v>
      </c>
      <c r="F154" s="257"/>
      <c r="G154" s="1"/>
      <c r="H154" s="206"/>
      <c r="I154" s="1"/>
    </row>
    <row r="155">
      <c r="A155" s="263" t="s">
        <v>308</v>
      </c>
      <c r="B155" s="249" t="str">
        <f>IFERROR(__xludf.DUMMYFUNCTION("VLOOKUP(A155,IMPORTRANGE(""https://docs.google.com/spreadsheets/d/1oJmkDK37Qizzdaxn4KCwh1BMwdNWuHCx3AGH8BC9yu0/edit?gid=781951868#gid=781951868"",""キャラ!D:F""),3,false)"),"鴨乃橋 ロン")</f>
        <v>鴨乃橋 ロン</v>
      </c>
      <c r="C155" s="265" t="s">
        <v>270</v>
      </c>
      <c r="D155" s="251">
        <f t="shared" si="21"/>
        <v>1746</v>
      </c>
      <c r="E155" s="252">
        <f t="shared" si="22"/>
        <v>0.06062</v>
      </c>
      <c r="F155" s="257"/>
      <c r="G155" s="1"/>
      <c r="H155" s="206"/>
      <c r="I155" s="1"/>
    </row>
    <row r="156">
      <c r="A156" s="263" t="s">
        <v>309</v>
      </c>
      <c r="B156" s="249" t="str">
        <f>IFERROR(__xludf.DUMMYFUNCTION("VLOOKUP(A156,IMPORTRANGE(""https://docs.google.com/spreadsheets/d/1oJmkDK37Qizzdaxn4KCwh1BMwdNWuHCx3AGH8BC9yu0/edit?gid=781951868#gid=781951868"",""キャラ!D:F""),3,false)"),"阿波連 れいな")</f>
        <v>阿波連 れいな</v>
      </c>
      <c r="C156" s="265" t="s">
        <v>270</v>
      </c>
      <c r="D156" s="251">
        <f t="shared" si="21"/>
        <v>1746</v>
      </c>
      <c r="E156" s="252">
        <f t="shared" si="22"/>
        <v>0.06062</v>
      </c>
      <c r="F156" s="257"/>
      <c r="G156" s="1"/>
      <c r="H156" s="206"/>
      <c r="I156" s="1"/>
    </row>
    <row r="157">
      <c r="A157" s="263" t="s">
        <v>310</v>
      </c>
      <c r="B157" s="249" t="str">
        <f>IFERROR(__xludf.DUMMYFUNCTION("VLOOKUP(A157,IMPORTRANGE(""https://docs.google.com/spreadsheets/d/1oJmkDK37Qizzdaxn4KCwh1BMwdNWuHCx3AGH8BC9yu0/edit?gid=781951868#gid=781951868"",""キャラ!D:F""),3,false)"),"山田浅ェ門 佐切")</f>
        <v>山田浅ェ門 佐切</v>
      </c>
      <c r="C157" s="265" t="s">
        <v>270</v>
      </c>
      <c r="D157" s="251">
        <f t="shared" si="21"/>
        <v>1746</v>
      </c>
      <c r="E157" s="252">
        <f t="shared" si="22"/>
        <v>0.06062</v>
      </c>
      <c r="F157" s="257"/>
      <c r="G157" s="1"/>
      <c r="H157" s="206"/>
      <c r="I157" s="1"/>
    </row>
    <row r="158">
      <c r="A158" s="263" t="s">
        <v>311</v>
      </c>
      <c r="B158" s="249" t="str">
        <f>IFERROR(__xludf.DUMMYFUNCTION("VLOOKUP(A158,IMPORTRANGE(""https://docs.google.com/spreadsheets/d/1oJmkDK37Qizzdaxn4KCwh1BMwdNWuHCx3AGH8BC9yu0/edit?gid=781951868#gid=781951868"",""キャラ!D:F""),3,false)"),"冬木 美波")</f>
        <v>冬木 美波</v>
      </c>
      <c r="C158" s="265" t="s">
        <v>270</v>
      </c>
      <c r="D158" s="251">
        <f t="shared" si="21"/>
        <v>1746</v>
      </c>
      <c r="E158" s="252">
        <f t="shared" si="22"/>
        <v>0.06062</v>
      </c>
      <c r="F158" s="257"/>
      <c r="G158" s="68"/>
      <c r="H158" s="206"/>
      <c r="I158" s="1"/>
    </row>
    <row r="159">
      <c r="A159" s="263" t="s">
        <v>312</v>
      </c>
      <c r="B159" s="249" t="str">
        <f>IFERROR(__xludf.DUMMYFUNCTION("VLOOKUP(A159,IMPORTRANGE(""https://docs.google.com/spreadsheets/d/1oJmkDK37Qizzdaxn4KCwh1BMwdNWuHCx3AGH8BC9yu0/edit?gid=781951868#gid=781951868"",""キャラ!D:F""),3,false)"),"秋野 沙友理")</f>
        <v>秋野 沙友理</v>
      </c>
      <c r="C159" s="265" t="s">
        <v>270</v>
      </c>
      <c r="D159" s="251">
        <f t="shared" si="21"/>
        <v>1746</v>
      </c>
      <c r="E159" s="252">
        <f t="shared" si="22"/>
        <v>0.06062</v>
      </c>
      <c r="F159" s="257"/>
      <c r="G159" s="1"/>
      <c r="H159" s="206"/>
      <c r="I159" s="1"/>
    </row>
    <row r="160">
      <c r="A160" s="286"/>
      <c r="B160" s="287"/>
      <c r="C160" s="288"/>
      <c r="D160" s="289"/>
      <c r="E160" s="270">
        <f>sum(E125:E159)</f>
        <v>0.63245</v>
      </c>
      <c r="F160" s="271">
        <f>sum(F106:F159)</f>
        <v>2</v>
      </c>
      <c r="G160" s="1"/>
      <c r="H160" s="1"/>
      <c r="I160" s="1"/>
    </row>
    <row r="161">
      <c r="A161" s="286"/>
      <c r="B161" s="287"/>
      <c r="C161" s="288"/>
      <c r="D161" s="289"/>
      <c r="E161" s="290"/>
      <c r="F161" s="291"/>
      <c r="G161" s="1"/>
      <c r="H161" s="1"/>
      <c r="I161" s="1"/>
    </row>
  </sheetData>
  <mergeCells count="8">
    <mergeCell ref="A31:A35"/>
    <mergeCell ref="G42:H45"/>
    <mergeCell ref="F59:F76"/>
    <mergeCell ref="F77:F92"/>
    <mergeCell ref="F93:F102"/>
    <mergeCell ref="F103:F111"/>
    <mergeCell ref="F126:F143"/>
    <mergeCell ref="F144:F159"/>
  </mergeCells>
  <conditionalFormatting sqref="B9:I9">
    <cfRule type="expression" dxfId="0" priority="1">
      <formula>$B8="無"</formula>
    </cfRule>
  </conditionalFormatting>
  <conditionalFormatting sqref="B17:I17">
    <cfRule type="expression" dxfId="0" priority="2">
      <formula>$B16="無"</formula>
    </cfRule>
  </conditionalFormatting>
  <conditionalFormatting sqref="B19:I19">
    <cfRule type="expression" dxfId="0" priority="3">
      <formula>$B18="無"</formula>
    </cfRule>
  </conditionalFormatting>
  <conditionalFormatting sqref="B23:I23">
    <cfRule type="expression" dxfId="0" priority="4">
      <formula>$B22="無"</formula>
    </cfRule>
  </conditionalFormatting>
  <conditionalFormatting sqref="B25:I25">
    <cfRule type="expression" dxfId="1" priority="5">
      <formula>$B24="無"</formula>
    </cfRule>
  </conditionalFormatting>
  <conditionalFormatting sqref="B27:I27">
    <cfRule type="expression" dxfId="0" priority="6">
      <formula>$B26="無"</formula>
    </cfRule>
  </conditionalFormatting>
  <conditionalFormatting sqref="B5 B10:B11 C10:I15">
    <cfRule type="expression" dxfId="1" priority="7">
      <formula>$B3="無"</formula>
    </cfRule>
  </conditionalFormatting>
  <conditionalFormatting sqref="C13:I15">
    <cfRule type="expression" dxfId="0" priority="8">
      <formula>#REF!="無"</formula>
    </cfRule>
  </conditionalFormatting>
  <dataValidations>
    <dataValidation type="list" allowBlank="1" showErrorMessage="1" sqref="H2">
      <formula1>"未承認,承認済,社内承認済"</formula1>
    </dataValidation>
    <dataValidation type="list" allowBlank="1" showErrorMessage="1" sqref="B8 B12:B13 B16 B18 B21:B22 B24 B26">
      <formula1>"有,無"</formula1>
    </dataValidation>
    <dataValidation type="list" allowBlank="1" showErrorMessage="1" sqref="B6">
      <formula1>"恒常ガシャ,ピックアップガシャ,フェス限定ガシャ,有償限定ガシャ,チュートリアルガシャ,チケットガシャ"</formula1>
    </dataValidation>
    <dataValidation type="list" allowBlank="1" showErrorMessage="1" sqref="B15">
      <formula1>"行う,行わない"</formula1>
    </dataValidation>
    <dataValidation type="list" allowBlank="1" showErrorMessage="1" sqref="B20">
      <formula1>"可,否"</formula1>
    </dataValidation>
  </dataValidations>
  <hyperlinks>
    <hyperlink r:id="rId1" location="gid=1243607662&amp;range=F:F" ref="F14"/>
    <hyperlink r:id="rId2" location="gid=920186449&amp;range=F:F" ref="E42"/>
    <hyperlink r:id="rId3" location="gid=158837977" ref="E44"/>
    <hyperlink r:id="rId4" location="gid=920186449&amp;range=H:H" ref="E4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333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3.88"/>
    <col customWidth="1" min="3" max="3" width="16.0"/>
    <col customWidth="1" min="14" max="16" width="3.38"/>
  </cols>
  <sheetData>
    <row r="1">
      <c r="K1" s="11" t="s">
        <v>37</v>
      </c>
      <c r="L1" s="11" t="s">
        <v>38</v>
      </c>
      <c r="M1" s="11" t="s">
        <v>39</v>
      </c>
    </row>
    <row r="2">
      <c r="B2" s="222" t="s">
        <v>334</v>
      </c>
      <c r="K2" s="12" t="s">
        <v>41</v>
      </c>
      <c r="L2" s="13"/>
      <c r="M2" s="14" t="s">
        <v>42</v>
      </c>
    </row>
    <row r="3">
      <c r="A3" s="1"/>
      <c r="B3" s="15" t="s">
        <v>335</v>
      </c>
      <c r="C3" s="5"/>
      <c r="D3" s="5"/>
      <c r="E3" s="5"/>
      <c r="F3" s="5"/>
      <c r="G3" s="5"/>
      <c r="H3" s="5"/>
      <c r="I3" s="5"/>
      <c r="J3" s="5"/>
      <c r="K3" s="1"/>
      <c r="L3" s="1"/>
      <c r="M3" s="1"/>
      <c r="N3" s="1"/>
      <c r="O3" s="1"/>
      <c r="P3" s="1"/>
    </row>
    <row r="4">
      <c r="A4" s="1"/>
      <c r="B4" s="46" t="s">
        <v>48</v>
      </c>
      <c r="C4" s="47">
        <v>2.0</v>
      </c>
      <c r="D4" s="48"/>
      <c r="E4" s="1"/>
      <c r="F4" s="1"/>
      <c r="G4" s="1"/>
      <c r="H4" s="1"/>
      <c r="I4" s="1"/>
      <c r="J4" s="1"/>
      <c r="K4" s="1"/>
      <c r="L4" s="1"/>
      <c r="M4" s="1"/>
      <c r="N4" s="1"/>
      <c r="O4" s="1"/>
      <c r="P4" s="1"/>
    </row>
    <row r="5">
      <c r="A5" s="1"/>
      <c r="B5" s="46" t="s">
        <v>50</v>
      </c>
      <c r="C5" s="51">
        <v>46111.625</v>
      </c>
      <c r="D5" s="50" t="s">
        <v>51</v>
      </c>
      <c r="E5" s="51">
        <v>46125.45832175926</v>
      </c>
      <c r="F5" s="1"/>
      <c r="G5" s="1"/>
      <c r="H5" s="1"/>
      <c r="I5" s="1"/>
      <c r="J5" s="1"/>
      <c r="K5" s="1"/>
      <c r="L5" s="1"/>
      <c r="M5" s="1"/>
      <c r="N5" s="1"/>
      <c r="O5" s="1"/>
      <c r="P5" s="1"/>
    </row>
    <row r="6">
      <c r="A6" s="1"/>
      <c r="B6" s="52"/>
      <c r="C6" s="53" t="s">
        <v>53</v>
      </c>
      <c r="D6" s="53" t="s">
        <v>54</v>
      </c>
      <c r="E6" s="54" t="s">
        <v>55</v>
      </c>
      <c r="F6" s="28"/>
      <c r="G6" s="53" t="s">
        <v>56</v>
      </c>
      <c r="H6" s="55"/>
      <c r="I6" s="55"/>
      <c r="J6" s="52"/>
      <c r="K6" s="1"/>
      <c r="L6" s="1"/>
      <c r="M6" s="1"/>
      <c r="N6" s="1"/>
      <c r="O6" s="1"/>
      <c r="P6" s="1"/>
    </row>
    <row r="7">
      <c r="A7" s="1"/>
      <c r="B7" s="56" t="s">
        <v>57</v>
      </c>
      <c r="C7" s="57" t="s">
        <v>58</v>
      </c>
      <c r="D7" s="57" t="s">
        <v>58</v>
      </c>
      <c r="E7" s="57" t="s">
        <v>59</v>
      </c>
      <c r="F7" s="57" t="s">
        <v>60</v>
      </c>
      <c r="G7" s="57" t="s">
        <v>58</v>
      </c>
      <c r="H7" s="57" t="s">
        <v>61</v>
      </c>
      <c r="I7" s="57" t="s">
        <v>62</v>
      </c>
      <c r="J7" s="56" t="s">
        <v>63</v>
      </c>
      <c r="K7" s="1"/>
      <c r="L7" s="1"/>
      <c r="M7" s="1"/>
      <c r="N7" s="1"/>
      <c r="O7" s="1"/>
      <c r="P7" s="1"/>
    </row>
    <row r="8">
      <c r="A8" s="1"/>
      <c r="B8" s="34">
        <v>1.0</v>
      </c>
      <c r="C8" s="35">
        <v>2.0</v>
      </c>
      <c r="D8" s="36">
        <f t="shared" ref="D8:D12" si="1">C8/B8</f>
        <v>2</v>
      </c>
      <c r="E8" s="37"/>
      <c r="F8" s="37"/>
      <c r="G8" s="36">
        <f t="shared" ref="G8:G12" si="2">D8*150</f>
        <v>300</v>
      </c>
      <c r="H8" s="38"/>
      <c r="I8" s="37"/>
      <c r="J8" s="39"/>
      <c r="K8" s="1"/>
      <c r="L8" s="1"/>
      <c r="M8" s="1"/>
      <c r="N8" s="1"/>
      <c r="O8" s="1"/>
      <c r="P8" s="1"/>
    </row>
    <row r="9">
      <c r="A9" s="1"/>
      <c r="B9" s="58">
        <v>300.0</v>
      </c>
      <c r="C9" s="59">
        <v>480.0</v>
      </c>
      <c r="D9" s="60">
        <f t="shared" si="1"/>
        <v>1.6</v>
      </c>
      <c r="E9" s="37"/>
      <c r="F9" s="37"/>
      <c r="G9" s="61">
        <f t="shared" si="2"/>
        <v>240</v>
      </c>
      <c r="H9" s="62">
        <f t="shared" ref="H9:H10" si="3">G9-G8</f>
        <v>-60</v>
      </c>
      <c r="I9" s="63">
        <f t="shared" ref="I9:I10" si="4">100%-(G9/G8)</f>
        <v>0.2</v>
      </c>
      <c r="J9" s="64">
        <v>2.0</v>
      </c>
      <c r="K9" s="1"/>
      <c r="L9" s="1"/>
      <c r="M9" s="1"/>
      <c r="N9" s="1"/>
      <c r="O9" s="1"/>
      <c r="P9" s="1"/>
    </row>
    <row r="10">
      <c r="A10" s="1"/>
      <c r="B10" s="58">
        <v>1500.0</v>
      </c>
      <c r="C10" s="65">
        <v>1980.0</v>
      </c>
      <c r="D10" s="60">
        <f t="shared" si="1"/>
        <v>1.32</v>
      </c>
      <c r="E10" s="37"/>
      <c r="F10" s="37"/>
      <c r="G10" s="60">
        <f t="shared" si="2"/>
        <v>198</v>
      </c>
      <c r="H10" s="62">
        <f t="shared" si="3"/>
        <v>-42</v>
      </c>
      <c r="I10" s="63">
        <f t="shared" si="4"/>
        <v>0.175</v>
      </c>
      <c r="J10" s="64">
        <v>2.0</v>
      </c>
      <c r="K10" s="1"/>
      <c r="L10" s="1"/>
      <c r="M10" s="1"/>
      <c r="N10" s="1"/>
      <c r="O10" s="1"/>
      <c r="P10" s="1"/>
    </row>
    <row r="11">
      <c r="A11" s="1"/>
      <c r="B11" s="58">
        <v>4000.0</v>
      </c>
      <c r="C11" s="65">
        <v>4980.0</v>
      </c>
      <c r="D11" s="60">
        <f t="shared" si="1"/>
        <v>1.245</v>
      </c>
      <c r="E11" s="37"/>
      <c r="F11" s="37"/>
      <c r="G11" s="60">
        <f t="shared" si="2"/>
        <v>186.75</v>
      </c>
      <c r="H11" s="62">
        <f>G11-G8</f>
        <v>-113.25</v>
      </c>
      <c r="I11" s="63">
        <f>100%-(G11/G8)</f>
        <v>0.3775</v>
      </c>
      <c r="J11" s="64">
        <v>2.0</v>
      </c>
      <c r="K11" s="1"/>
      <c r="L11" s="1"/>
      <c r="M11" s="1"/>
      <c r="N11" s="1"/>
      <c r="O11" s="1"/>
      <c r="P11" s="1"/>
    </row>
    <row r="12">
      <c r="A12" s="1"/>
      <c r="B12" s="58">
        <v>11200.0</v>
      </c>
      <c r="C12" s="66">
        <v>10000.0</v>
      </c>
      <c r="D12" s="60">
        <f t="shared" si="1"/>
        <v>0.8928571429</v>
      </c>
      <c r="E12" s="37"/>
      <c r="F12" s="37"/>
      <c r="G12" s="67">
        <f t="shared" si="2"/>
        <v>133.9285714</v>
      </c>
      <c r="H12" s="62">
        <f>G12-G11</f>
        <v>-52.82142857</v>
      </c>
      <c r="I12" s="63">
        <f>100%-(G12/G8)</f>
        <v>0.5535714286</v>
      </c>
      <c r="J12" s="64">
        <v>2.0</v>
      </c>
      <c r="K12" s="1"/>
      <c r="L12" s="1"/>
      <c r="M12" s="1"/>
      <c r="N12" s="1"/>
      <c r="O12" s="1"/>
      <c r="P12" s="1"/>
    </row>
    <row r="13">
      <c r="A13" s="1"/>
      <c r="B13" s="68"/>
      <c r="C13" s="1"/>
      <c r="D13" s="1"/>
      <c r="E13" s="1"/>
      <c r="F13" s="1"/>
      <c r="G13" s="7"/>
      <c r="H13" s="7"/>
      <c r="I13" s="1"/>
      <c r="J13" s="1"/>
      <c r="K13" s="1"/>
      <c r="L13" s="1"/>
      <c r="M13" s="1"/>
      <c r="N13" s="1"/>
      <c r="O13" s="1"/>
      <c r="P13" s="1"/>
    </row>
    <row r="14">
      <c r="A14" s="1"/>
      <c r="B14" s="69"/>
      <c r="C14" s="1"/>
      <c r="D14" s="1"/>
      <c r="E14" s="1"/>
      <c r="F14" s="1"/>
      <c r="G14" s="1"/>
      <c r="H14" s="1"/>
      <c r="I14" s="1"/>
      <c r="J14" s="1"/>
      <c r="K14" s="1"/>
      <c r="L14" s="1"/>
      <c r="M14" s="1"/>
      <c r="N14" s="1"/>
      <c r="O14" s="1"/>
      <c r="P14" s="1"/>
    </row>
    <row r="15">
      <c r="A15" s="1"/>
      <c r="B15" s="1"/>
      <c r="C15" s="1"/>
      <c r="D15" s="1"/>
      <c r="E15" s="1"/>
      <c r="F15" s="1"/>
      <c r="G15" s="1"/>
      <c r="H15" s="1"/>
      <c r="I15" s="1"/>
      <c r="J15" s="1"/>
      <c r="K15" s="1"/>
      <c r="L15" s="1"/>
      <c r="M15" s="1"/>
      <c r="N15" s="1"/>
      <c r="O15" s="1"/>
      <c r="P15" s="1"/>
    </row>
    <row r="16">
      <c r="A16" s="1"/>
      <c r="B16" s="70" t="s">
        <v>70</v>
      </c>
      <c r="C16" s="5"/>
      <c r="D16" s="5"/>
      <c r="E16" s="5"/>
      <c r="F16" s="5"/>
      <c r="G16" s="5"/>
      <c r="H16" s="5"/>
      <c r="I16" s="5"/>
      <c r="J16" s="5"/>
      <c r="K16" s="1"/>
      <c r="L16" s="1"/>
      <c r="M16" s="1"/>
      <c r="N16" s="1"/>
      <c r="O16" s="1"/>
      <c r="P16" s="1"/>
    </row>
    <row r="17">
      <c r="A17" s="1"/>
      <c r="B17" s="71" t="s">
        <v>71</v>
      </c>
      <c r="C17" s="1"/>
      <c r="D17" s="1"/>
      <c r="E17" s="1"/>
      <c r="F17" s="1"/>
      <c r="G17" s="1"/>
      <c r="H17" s="1"/>
      <c r="I17" s="1"/>
      <c r="J17" s="1"/>
      <c r="K17" s="1"/>
      <c r="L17" s="1"/>
      <c r="M17" s="1"/>
      <c r="N17" s="1"/>
      <c r="O17" s="1"/>
      <c r="P17" s="1"/>
    </row>
    <row r="18">
      <c r="A18" s="1"/>
      <c r="B18" s="72" t="s">
        <v>72</v>
      </c>
      <c r="C18" s="292"/>
      <c r="D18" s="1"/>
      <c r="E18" s="1"/>
      <c r="F18" s="1"/>
      <c r="G18" s="1"/>
      <c r="H18" s="1"/>
      <c r="I18" s="1"/>
      <c r="J18" s="1"/>
      <c r="K18" s="1"/>
      <c r="L18" s="1"/>
      <c r="M18" s="1"/>
      <c r="N18" s="1"/>
      <c r="O18" s="1"/>
      <c r="P18" s="1"/>
    </row>
    <row r="19">
      <c r="A19" s="1"/>
      <c r="B19" s="74" t="s">
        <v>74</v>
      </c>
      <c r="C19" s="292"/>
      <c r="D19" s="1"/>
      <c r="E19" s="1"/>
      <c r="F19" s="1"/>
      <c r="G19" s="1"/>
      <c r="H19" s="1"/>
      <c r="I19" s="1"/>
      <c r="J19" s="1"/>
      <c r="K19" s="1"/>
      <c r="L19" s="1"/>
      <c r="M19" s="1"/>
      <c r="N19" s="1"/>
      <c r="O19" s="1"/>
      <c r="P19" s="1"/>
    </row>
    <row r="20">
      <c r="A20" s="1"/>
      <c r="B20" s="72" t="s">
        <v>75</v>
      </c>
      <c r="C20" s="293"/>
      <c r="D20" s="1"/>
      <c r="E20" s="1"/>
      <c r="F20" s="1"/>
      <c r="G20" s="1"/>
      <c r="H20" s="1"/>
      <c r="I20" s="1"/>
      <c r="J20" s="1"/>
      <c r="K20" s="1"/>
      <c r="L20" s="1"/>
      <c r="M20" s="1"/>
      <c r="N20" s="1"/>
      <c r="O20" s="1"/>
      <c r="P20" s="1"/>
    </row>
    <row r="21">
      <c r="A21" s="1"/>
      <c r="B21" s="72" t="s">
        <v>77</v>
      </c>
      <c r="C21" s="293"/>
      <c r="D21" s="1"/>
      <c r="E21" s="1"/>
      <c r="F21" s="1"/>
      <c r="G21" s="1"/>
      <c r="H21" s="1"/>
      <c r="I21" s="1"/>
      <c r="J21" s="1"/>
      <c r="K21" s="1"/>
      <c r="L21" s="1"/>
      <c r="M21" s="1"/>
      <c r="N21" s="1"/>
      <c r="O21" s="1"/>
      <c r="P21" s="1"/>
    </row>
    <row r="22">
      <c r="A22" s="1"/>
      <c r="B22" s="72" t="s">
        <v>79</v>
      </c>
      <c r="C22" s="76">
        <f>I31</f>
        <v>756</v>
      </c>
      <c r="D22" s="1"/>
      <c r="E22" s="1"/>
      <c r="F22" s="1"/>
      <c r="G22" s="1"/>
      <c r="H22" s="1"/>
      <c r="I22" s="1"/>
      <c r="J22" s="1"/>
      <c r="K22" s="1"/>
      <c r="L22" s="1"/>
      <c r="M22" s="1"/>
      <c r="N22" s="1"/>
      <c r="O22" s="1"/>
      <c r="P22" s="1"/>
    </row>
    <row r="23">
      <c r="A23" s="1"/>
      <c r="B23" s="72" t="s">
        <v>80</v>
      </c>
      <c r="C23" s="76">
        <f>C22/1.1</f>
        <v>687.2727273</v>
      </c>
      <c r="D23" s="1"/>
      <c r="E23" s="1"/>
      <c r="F23" s="1"/>
      <c r="G23" s="1"/>
      <c r="H23" s="1"/>
      <c r="I23" s="1"/>
      <c r="J23" s="1"/>
      <c r="K23" s="1"/>
      <c r="L23" s="1"/>
      <c r="M23" s="1"/>
      <c r="N23" s="1"/>
      <c r="O23" s="1"/>
      <c r="P23" s="1"/>
    </row>
    <row r="24">
      <c r="A24" s="1"/>
      <c r="B24" s="72" t="s">
        <v>81</v>
      </c>
      <c r="C24" s="77">
        <v>300.0</v>
      </c>
      <c r="D24" s="46" t="s">
        <v>82</v>
      </c>
      <c r="E24" s="78">
        <f>1-(C24/C22)</f>
        <v>0.6031746032</v>
      </c>
      <c r="F24" s="1"/>
      <c r="G24" s="1"/>
      <c r="H24" s="1"/>
      <c r="I24" s="1"/>
      <c r="J24" s="1"/>
      <c r="K24" s="1"/>
      <c r="L24" s="1"/>
      <c r="M24" s="1"/>
      <c r="N24" s="1"/>
      <c r="O24" s="1"/>
      <c r="P24" s="1"/>
    </row>
    <row r="25">
      <c r="A25" s="1"/>
      <c r="B25" s="72" t="s">
        <v>83</v>
      </c>
      <c r="C25" s="76">
        <f>C24/1.1</f>
        <v>272.7272727</v>
      </c>
      <c r="D25" s="48"/>
      <c r="E25" s="1"/>
      <c r="F25" s="1"/>
      <c r="G25" s="1"/>
      <c r="H25" s="1"/>
      <c r="I25" s="1"/>
      <c r="J25" s="1"/>
      <c r="K25" s="1"/>
      <c r="L25" s="1"/>
      <c r="M25" s="1"/>
      <c r="N25" s="1"/>
      <c r="O25" s="1"/>
      <c r="P25" s="1"/>
    </row>
    <row r="26">
      <c r="A26" s="1"/>
      <c r="B26" s="72" t="s">
        <v>48</v>
      </c>
      <c r="C26" s="79">
        <v>10.0</v>
      </c>
      <c r="D26" s="48"/>
      <c r="E26" s="1"/>
      <c r="F26" s="1"/>
      <c r="G26" s="1"/>
      <c r="H26" s="1"/>
      <c r="I26" s="1"/>
      <c r="J26" s="1"/>
      <c r="K26" s="1"/>
      <c r="L26" s="1"/>
      <c r="M26" s="1"/>
      <c r="N26" s="1"/>
      <c r="O26" s="1"/>
      <c r="P26" s="1"/>
    </row>
    <row r="27">
      <c r="A27" s="1"/>
      <c r="B27" s="72" t="s">
        <v>50</v>
      </c>
      <c r="C27" s="51">
        <v>46111.625</v>
      </c>
      <c r="D27" s="50" t="s">
        <v>51</v>
      </c>
      <c r="E27" s="51">
        <v>46125.45832175926</v>
      </c>
      <c r="F27" s="1"/>
      <c r="G27" s="1"/>
      <c r="H27" s="1"/>
      <c r="I27" s="1"/>
      <c r="J27" s="1"/>
      <c r="K27" s="1"/>
      <c r="L27" s="1"/>
      <c r="M27" s="1"/>
      <c r="N27" s="1"/>
      <c r="O27" s="1"/>
      <c r="P27" s="1"/>
    </row>
    <row r="28">
      <c r="A28" s="1"/>
      <c r="B28" s="68"/>
      <c r="C28" s="80"/>
      <c r="D28" s="1"/>
      <c r="E28" s="1"/>
      <c r="F28" s="1"/>
      <c r="G28" s="1"/>
      <c r="H28" s="1"/>
      <c r="I28" s="1"/>
      <c r="J28" s="1"/>
      <c r="K28" s="1"/>
      <c r="L28" s="1"/>
      <c r="M28" s="1"/>
      <c r="N28" s="1"/>
      <c r="O28" s="1"/>
      <c r="P28" s="1"/>
    </row>
    <row r="29">
      <c r="A29" s="1"/>
      <c r="B29" s="72" t="s">
        <v>84</v>
      </c>
      <c r="C29" s="46" t="s">
        <v>85</v>
      </c>
      <c r="D29" s="46" t="s">
        <v>86</v>
      </c>
      <c r="E29" s="46" t="s">
        <v>57</v>
      </c>
      <c r="F29" s="46" t="s">
        <v>59</v>
      </c>
      <c r="G29" s="46" t="s">
        <v>87</v>
      </c>
      <c r="H29" s="81" t="s">
        <v>88</v>
      </c>
      <c r="I29" s="46" t="s">
        <v>89</v>
      </c>
      <c r="J29" s="46" t="s">
        <v>90</v>
      </c>
      <c r="K29" s="1"/>
      <c r="L29" s="1"/>
      <c r="M29" s="1"/>
      <c r="N29" s="1"/>
      <c r="O29" s="1"/>
      <c r="P29" s="1"/>
    </row>
    <row r="30">
      <c r="A30" s="1"/>
      <c r="B30" s="82" t="s">
        <v>91</v>
      </c>
      <c r="C30" s="83" t="s">
        <v>92</v>
      </c>
      <c r="D30" s="84" t="str">
        <f>if(C30="","","(無期限)")</f>
        <v>(無期限)</v>
      </c>
      <c r="E30" s="84">
        <f>F30</f>
        <v>10</v>
      </c>
      <c r="F30" s="85">
        <v>10.0</v>
      </c>
      <c r="G30" s="83">
        <v>0.0</v>
      </c>
      <c r="H30" s="86">
        <v>75.6</v>
      </c>
      <c r="I30" s="87">
        <f>H30*F30</f>
        <v>756</v>
      </c>
      <c r="J30" s="88">
        <f>G30*H30</f>
        <v>0</v>
      </c>
      <c r="K30" s="1"/>
      <c r="L30" s="1"/>
      <c r="M30" s="1"/>
      <c r="N30" s="1"/>
      <c r="O30" s="1"/>
      <c r="P30" s="1"/>
    </row>
    <row r="31">
      <c r="A31" s="1"/>
      <c r="B31" s="68"/>
      <c r="C31" s="1"/>
      <c r="D31" s="1"/>
      <c r="E31" s="1"/>
      <c r="F31" s="1"/>
      <c r="G31" s="89" t="s">
        <v>93</v>
      </c>
      <c r="H31" s="28"/>
      <c r="I31" s="59">
        <f t="shared" ref="I31:J31" si="5">SUM(I30)</f>
        <v>756</v>
      </c>
      <c r="J31" s="88">
        <f t="shared" si="5"/>
        <v>0</v>
      </c>
      <c r="K31" s="1"/>
      <c r="L31" s="1"/>
      <c r="M31" s="1"/>
      <c r="N31" s="1"/>
      <c r="O31" s="1"/>
      <c r="P31" s="1"/>
    </row>
    <row r="32">
      <c r="A32" s="1"/>
      <c r="B32" s="68"/>
      <c r="C32" s="1"/>
      <c r="D32" s="1"/>
      <c r="E32" s="1"/>
      <c r="F32" s="1"/>
      <c r="G32" s="89" t="s">
        <v>94</v>
      </c>
      <c r="H32" s="28"/>
      <c r="I32" s="90">
        <f>C24</f>
        <v>300</v>
      </c>
      <c r="J32" s="91" t="s">
        <v>95</v>
      </c>
      <c r="K32" s="1"/>
      <c r="L32" s="1"/>
      <c r="M32" s="1"/>
      <c r="N32" s="1"/>
      <c r="O32" s="1"/>
      <c r="P32" s="1"/>
    </row>
    <row r="33">
      <c r="A33" s="1"/>
      <c r="B33" s="68"/>
      <c r="C33" s="1"/>
      <c r="D33" s="1"/>
      <c r="E33" s="1"/>
      <c r="F33" s="1"/>
      <c r="G33" s="89" t="s">
        <v>96</v>
      </c>
      <c r="H33" s="28"/>
      <c r="I33" s="92">
        <f>iferror(1-(I32/I31),"")</f>
        <v>0.6031746032</v>
      </c>
      <c r="J33" s="93">
        <f>J31/I32</f>
        <v>0</v>
      </c>
      <c r="K33" s="1"/>
      <c r="L33" s="1"/>
      <c r="M33" s="1"/>
      <c r="N33" s="1"/>
      <c r="O33" s="1"/>
      <c r="P33" s="1"/>
    </row>
    <row r="34">
      <c r="A34" s="1"/>
      <c r="B34" s="68"/>
      <c r="C34" s="1"/>
      <c r="D34" s="1"/>
      <c r="E34" s="1"/>
      <c r="F34" s="1"/>
      <c r="G34" s="1"/>
      <c r="H34" s="1"/>
      <c r="I34" s="48"/>
      <c r="J34" s="94"/>
      <c r="K34" s="1"/>
      <c r="L34" s="1"/>
      <c r="M34" s="1"/>
      <c r="N34" s="1"/>
      <c r="O34" s="1"/>
      <c r="P34" s="1"/>
    </row>
    <row r="35">
      <c r="A35" s="1"/>
      <c r="B35" s="15" t="s">
        <v>105</v>
      </c>
      <c r="C35" s="5"/>
      <c r="D35" s="5"/>
      <c r="E35" s="5"/>
      <c r="F35" s="5"/>
      <c r="G35" s="5"/>
      <c r="H35" s="5"/>
      <c r="I35" s="103"/>
      <c r="J35" s="103"/>
      <c r="K35" s="1"/>
      <c r="L35" s="1"/>
      <c r="M35" s="1"/>
      <c r="N35" s="1"/>
      <c r="O35" s="1"/>
      <c r="P35" s="1"/>
    </row>
    <row r="36">
      <c r="A36" s="1"/>
      <c r="B36" s="104" t="s">
        <v>106</v>
      </c>
      <c r="C36" s="1"/>
      <c r="D36" s="105"/>
      <c r="E36" s="7" t="s">
        <v>107</v>
      </c>
      <c r="F36" s="1"/>
      <c r="G36" s="1"/>
      <c r="H36" s="1"/>
      <c r="I36" s="1"/>
      <c r="J36" s="1"/>
      <c r="K36" s="1"/>
      <c r="L36" s="1"/>
      <c r="M36" s="1"/>
      <c r="N36" s="1"/>
      <c r="O36" s="1"/>
      <c r="P36" s="1"/>
    </row>
    <row r="37">
      <c r="A37" s="1"/>
      <c r="B37" s="46" t="s">
        <v>72</v>
      </c>
      <c r="C37" s="292"/>
      <c r="D37" s="1"/>
      <c r="E37" s="1"/>
      <c r="F37" s="1"/>
      <c r="G37" s="1"/>
      <c r="H37" s="1"/>
      <c r="I37" s="1"/>
      <c r="J37" s="1"/>
      <c r="K37" s="1"/>
      <c r="L37" s="1"/>
      <c r="M37" s="1"/>
      <c r="N37" s="1"/>
      <c r="O37" s="1"/>
      <c r="P37" s="1"/>
    </row>
    <row r="38">
      <c r="A38" s="1"/>
      <c r="B38" s="74" t="s">
        <v>74</v>
      </c>
      <c r="C38" s="292"/>
      <c r="D38" s="1"/>
      <c r="E38" s="1"/>
      <c r="F38" s="1"/>
      <c r="G38" s="1"/>
      <c r="H38" s="1"/>
      <c r="I38" s="1"/>
      <c r="J38" s="1"/>
      <c r="K38" s="1"/>
      <c r="L38" s="1"/>
      <c r="M38" s="1"/>
      <c r="N38" s="1"/>
      <c r="O38" s="1"/>
      <c r="P38" s="1"/>
    </row>
    <row r="39">
      <c r="A39" s="1"/>
      <c r="B39" s="72" t="s">
        <v>75</v>
      </c>
      <c r="C39" s="293"/>
      <c r="D39" s="68"/>
      <c r="E39" s="1"/>
      <c r="F39" s="1"/>
      <c r="G39" s="1"/>
      <c r="H39" s="1"/>
      <c r="I39" s="1"/>
      <c r="J39" s="1"/>
      <c r="K39" s="1"/>
      <c r="L39" s="1"/>
      <c r="M39" s="1"/>
      <c r="N39" s="1"/>
      <c r="O39" s="1"/>
      <c r="P39" s="1"/>
    </row>
    <row r="40">
      <c r="A40" s="1"/>
      <c r="B40" s="72" t="s">
        <v>77</v>
      </c>
      <c r="C40" s="293"/>
      <c r="D40" s="1"/>
      <c r="E40" s="1"/>
      <c r="F40" s="1"/>
      <c r="G40" s="1"/>
      <c r="H40" s="1"/>
      <c r="I40" s="1"/>
      <c r="J40" s="1"/>
      <c r="K40" s="1"/>
      <c r="L40" s="1"/>
      <c r="M40" s="1"/>
      <c r="N40" s="1"/>
      <c r="O40" s="1"/>
      <c r="P40" s="1"/>
    </row>
    <row r="41">
      <c r="A41" s="1"/>
      <c r="B41" s="72" t="s">
        <v>79</v>
      </c>
      <c r="C41" s="76">
        <f>I52</f>
        <v>6804</v>
      </c>
      <c r="D41" s="7"/>
      <c r="E41" s="1"/>
      <c r="F41" s="1"/>
      <c r="G41" s="1"/>
      <c r="H41" s="1"/>
      <c r="I41" s="1"/>
      <c r="J41" s="1"/>
      <c r="K41" s="1"/>
      <c r="L41" s="1"/>
      <c r="M41" s="1"/>
      <c r="N41" s="1"/>
      <c r="O41" s="1"/>
      <c r="P41" s="1"/>
    </row>
    <row r="42">
      <c r="A42" s="1"/>
      <c r="B42" s="72" t="s">
        <v>80</v>
      </c>
      <c r="C42" s="76">
        <f>C41/1.1</f>
        <v>6185.454545</v>
      </c>
      <c r="D42" s="1"/>
      <c r="E42" s="1"/>
      <c r="F42" s="1"/>
      <c r="G42" s="1"/>
      <c r="H42" s="1"/>
      <c r="I42" s="1"/>
      <c r="J42" s="1"/>
      <c r="K42" s="1"/>
      <c r="L42" s="1"/>
      <c r="M42" s="1"/>
      <c r="N42" s="1"/>
      <c r="O42" s="1"/>
      <c r="P42" s="1"/>
    </row>
    <row r="43">
      <c r="A43" s="1"/>
      <c r="B43" s="72" t="s">
        <v>81</v>
      </c>
      <c r="C43" s="106">
        <v>480.0</v>
      </c>
      <c r="D43" s="46" t="s">
        <v>82</v>
      </c>
      <c r="E43" s="78">
        <f>1-(C43/C41)</f>
        <v>0.9294532628</v>
      </c>
      <c r="F43" s="1"/>
      <c r="G43" s="1"/>
      <c r="H43" s="1"/>
      <c r="I43" s="7"/>
      <c r="J43" s="1"/>
      <c r="K43" s="1"/>
      <c r="L43" s="1"/>
      <c r="M43" s="1"/>
      <c r="N43" s="1"/>
      <c r="O43" s="1"/>
      <c r="P43" s="1"/>
    </row>
    <row r="44">
      <c r="A44" s="1"/>
      <c r="B44" s="72" t="s">
        <v>83</v>
      </c>
      <c r="C44" s="76">
        <f>C43/1.1</f>
        <v>436.3636364</v>
      </c>
      <c r="D44" s="48"/>
      <c r="E44" s="1"/>
      <c r="F44" s="1"/>
      <c r="G44" s="1"/>
      <c r="H44" s="1"/>
      <c r="I44" s="1"/>
      <c r="J44" s="1"/>
      <c r="K44" s="1"/>
      <c r="L44" s="1"/>
      <c r="M44" s="1"/>
      <c r="N44" s="1"/>
      <c r="O44" s="1"/>
      <c r="P44" s="1"/>
    </row>
    <row r="45">
      <c r="A45" s="1"/>
      <c r="B45" s="72" t="s">
        <v>48</v>
      </c>
      <c r="C45" s="107">
        <v>5.0</v>
      </c>
      <c r="D45" s="48"/>
      <c r="E45" s="1"/>
      <c r="F45" s="1"/>
      <c r="G45" s="1"/>
      <c r="H45" s="1"/>
      <c r="I45" s="1"/>
      <c r="J45" s="1"/>
      <c r="K45" s="1"/>
      <c r="L45" s="1"/>
      <c r="M45" s="1"/>
      <c r="N45" s="1"/>
      <c r="O45" s="1"/>
      <c r="P45" s="1"/>
    </row>
    <row r="46">
      <c r="A46" s="1"/>
      <c r="B46" s="72" t="s">
        <v>50</v>
      </c>
      <c r="C46" s="51">
        <v>46111.625</v>
      </c>
      <c r="D46" s="50" t="s">
        <v>51</v>
      </c>
      <c r="E46" s="51">
        <v>46125.45832175926</v>
      </c>
      <c r="F46" s="1"/>
      <c r="G46" s="1"/>
      <c r="H46" s="1"/>
      <c r="I46" s="1"/>
      <c r="J46" s="1"/>
      <c r="K46" s="1"/>
      <c r="L46" s="1"/>
      <c r="M46" s="1"/>
      <c r="N46" s="1"/>
      <c r="O46" s="1"/>
      <c r="P46" s="1"/>
    </row>
    <row r="47">
      <c r="A47" s="1"/>
      <c r="B47" s="68"/>
      <c r="C47" s="80"/>
      <c r="D47" s="48"/>
      <c r="E47" s="1"/>
      <c r="F47" s="1"/>
      <c r="G47" s="1"/>
      <c r="H47" s="1"/>
      <c r="I47" s="1"/>
      <c r="J47" s="1"/>
      <c r="K47" s="1"/>
      <c r="L47" s="1"/>
      <c r="M47" s="1"/>
      <c r="N47" s="1"/>
      <c r="O47" s="1"/>
      <c r="P47" s="1"/>
    </row>
    <row r="48">
      <c r="A48" s="1"/>
      <c r="B48" s="72" t="s">
        <v>84</v>
      </c>
      <c r="C48" s="72" t="s">
        <v>85</v>
      </c>
      <c r="D48" s="81" t="s">
        <v>86</v>
      </c>
      <c r="E48" s="46" t="s">
        <v>57</v>
      </c>
      <c r="F48" s="46" t="s">
        <v>59</v>
      </c>
      <c r="G48" s="46" t="s">
        <v>87</v>
      </c>
      <c r="H48" s="81" t="s">
        <v>88</v>
      </c>
      <c r="I48" s="46" t="s">
        <v>89</v>
      </c>
      <c r="J48" s="46" t="s">
        <v>90</v>
      </c>
      <c r="K48" s="1"/>
      <c r="L48" s="1"/>
      <c r="M48" s="1"/>
      <c r="N48" s="1"/>
      <c r="O48" s="1"/>
      <c r="P48" s="1"/>
    </row>
    <row r="49">
      <c r="A49" s="1"/>
      <c r="B49" s="108" t="s">
        <v>111</v>
      </c>
      <c r="C49" s="109" t="s">
        <v>92</v>
      </c>
      <c r="D49" s="84" t="str">
        <f t="shared" ref="D49:D51" si="6">if(C49="","","(無期限)")</f>
        <v>(無期限)</v>
      </c>
      <c r="E49" s="110">
        <v>40.0</v>
      </c>
      <c r="F49" s="111">
        <v>40.0</v>
      </c>
      <c r="G49" s="83">
        <v>0.0</v>
      </c>
      <c r="H49" s="112">
        <v>37.8</v>
      </c>
      <c r="I49" s="87">
        <f t="shared" ref="I49:I51" si="7">H49*F49</f>
        <v>1512</v>
      </c>
      <c r="J49" s="88">
        <f t="shared" ref="J49:J51" si="8">G49*H49</f>
        <v>0</v>
      </c>
      <c r="K49" s="1"/>
      <c r="L49" s="1"/>
      <c r="M49" s="1"/>
      <c r="N49" s="1"/>
      <c r="O49" s="1"/>
      <c r="P49" s="1"/>
    </row>
    <row r="50">
      <c r="A50" s="1"/>
      <c r="B50" s="108" t="s">
        <v>112</v>
      </c>
      <c r="C50" s="113" t="s">
        <v>92</v>
      </c>
      <c r="D50" s="84" t="str">
        <f t="shared" si="6"/>
        <v>(無期限)</v>
      </c>
      <c r="E50" s="110">
        <v>30.0</v>
      </c>
      <c r="F50" s="111">
        <v>30.0</v>
      </c>
      <c r="G50" s="83">
        <v>0.0</v>
      </c>
      <c r="H50" s="112">
        <v>75.6</v>
      </c>
      <c r="I50" s="87">
        <f t="shared" si="7"/>
        <v>2268</v>
      </c>
      <c r="J50" s="88">
        <f t="shared" si="8"/>
        <v>0</v>
      </c>
      <c r="K50" s="1"/>
      <c r="L50" s="1"/>
      <c r="M50" s="1"/>
      <c r="N50" s="1"/>
      <c r="O50" s="1"/>
      <c r="P50" s="1"/>
    </row>
    <row r="51">
      <c r="A51" s="1"/>
      <c r="B51" s="108" t="s">
        <v>113</v>
      </c>
      <c r="C51" s="83" t="s">
        <v>92</v>
      </c>
      <c r="D51" s="84" t="str">
        <f t="shared" si="6"/>
        <v>(無期限)</v>
      </c>
      <c r="E51" s="110">
        <v>20.0</v>
      </c>
      <c r="F51" s="111">
        <v>20.0</v>
      </c>
      <c r="G51" s="83">
        <v>0.0</v>
      </c>
      <c r="H51" s="112">
        <v>151.2</v>
      </c>
      <c r="I51" s="87">
        <f t="shared" si="7"/>
        <v>3024</v>
      </c>
      <c r="J51" s="88">
        <f t="shared" si="8"/>
        <v>0</v>
      </c>
      <c r="K51" s="1"/>
      <c r="L51" s="1"/>
      <c r="M51" s="1"/>
      <c r="N51" s="1"/>
      <c r="O51" s="1"/>
      <c r="P51" s="1"/>
    </row>
    <row r="52">
      <c r="A52" s="1"/>
      <c r="B52" s="7" t="s">
        <v>114</v>
      </c>
      <c r="C52" s="1"/>
      <c r="D52" s="1"/>
      <c r="E52" s="114"/>
      <c r="F52" s="1"/>
      <c r="G52" s="89" t="s">
        <v>93</v>
      </c>
      <c r="H52" s="28"/>
      <c r="I52" s="59">
        <f t="shared" ref="I52:J52" si="9">SUM(I49:I51)</f>
        <v>6804</v>
      </c>
      <c r="J52" s="88">
        <f t="shared" si="9"/>
        <v>0</v>
      </c>
      <c r="K52" s="1"/>
      <c r="L52" s="1"/>
      <c r="M52" s="1"/>
      <c r="N52" s="1"/>
      <c r="O52" s="1"/>
      <c r="P52" s="1"/>
    </row>
    <row r="53">
      <c r="A53" s="1"/>
      <c r="B53" s="68"/>
      <c r="C53" s="1"/>
      <c r="D53" s="1"/>
      <c r="E53" s="68"/>
      <c r="F53" s="1"/>
      <c r="G53" s="89" t="s">
        <v>94</v>
      </c>
      <c r="H53" s="28"/>
      <c r="I53" s="115">
        <v>480.0</v>
      </c>
      <c r="J53" s="91" t="s">
        <v>95</v>
      </c>
      <c r="K53" s="1"/>
      <c r="L53" s="1"/>
      <c r="M53" s="1"/>
      <c r="N53" s="1"/>
      <c r="O53" s="1"/>
      <c r="P53" s="1"/>
    </row>
    <row r="54">
      <c r="A54" s="1"/>
      <c r="B54" s="68"/>
      <c r="C54" s="1"/>
      <c r="D54" s="1"/>
      <c r="E54" s="1"/>
      <c r="F54" s="1"/>
      <c r="G54" s="89" t="s">
        <v>96</v>
      </c>
      <c r="H54" s="28"/>
      <c r="I54" s="116">
        <f>iferror(1-(I53/I52),"")</f>
        <v>0.9294532628</v>
      </c>
      <c r="J54" s="93">
        <f>J52/I53</f>
        <v>0</v>
      </c>
      <c r="K54" s="1"/>
      <c r="L54" s="1"/>
      <c r="M54" s="1"/>
      <c r="N54" s="1"/>
      <c r="O54" s="1"/>
      <c r="P54" s="1"/>
    </row>
    <row r="55">
      <c r="A55" s="1"/>
      <c r="B55" s="68"/>
      <c r="C55" s="1"/>
      <c r="D55" s="1"/>
      <c r="E55" s="1"/>
      <c r="F55" s="1"/>
      <c r="G55" s="1"/>
      <c r="H55" s="1"/>
      <c r="I55" s="48"/>
      <c r="J55" s="94"/>
      <c r="K55" s="1"/>
      <c r="L55" s="1"/>
      <c r="M55" s="1"/>
      <c r="N55" s="1"/>
      <c r="O55" s="1"/>
      <c r="P55" s="1"/>
    </row>
    <row r="56">
      <c r="A56" s="1"/>
      <c r="B56" s="68"/>
      <c r="C56" s="1"/>
      <c r="D56" s="1"/>
      <c r="E56" s="1"/>
      <c r="F56" s="1"/>
      <c r="G56" s="1"/>
      <c r="H56" s="1"/>
      <c r="I56" s="48"/>
      <c r="J56" s="94"/>
      <c r="K56" s="1"/>
      <c r="L56" s="1"/>
      <c r="M56" s="1"/>
      <c r="N56" s="1"/>
      <c r="O56" s="1"/>
      <c r="P56" s="1"/>
    </row>
    <row r="57">
      <c r="A57" s="1"/>
      <c r="B57" s="70" t="s">
        <v>115</v>
      </c>
      <c r="C57" s="5"/>
      <c r="D57" s="5"/>
      <c r="E57" s="5"/>
      <c r="F57" s="5"/>
      <c r="G57" s="5"/>
      <c r="H57" s="5"/>
      <c r="I57" s="103"/>
      <c r="J57" s="103"/>
      <c r="K57" s="1"/>
      <c r="L57" s="1"/>
      <c r="M57" s="1"/>
      <c r="N57" s="1"/>
      <c r="O57" s="1"/>
      <c r="P57" s="1"/>
    </row>
    <row r="58">
      <c r="A58" s="1"/>
      <c r="B58" s="104" t="s">
        <v>106</v>
      </c>
      <c r="C58" s="1"/>
      <c r="D58" s="1"/>
      <c r="E58" s="1"/>
      <c r="F58" s="1"/>
      <c r="G58" s="1"/>
      <c r="H58" s="1"/>
      <c r="I58" s="1"/>
      <c r="J58" s="1"/>
      <c r="K58" s="1"/>
      <c r="L58" s="1"/>
      <c r="M58" s="1"/>
      <c r="N58" s="1"/>
      <c r="O58" s="1"/>
      <c r="P58" s="1"/>
    </row>
    <row r="59">
      <c r="A59" s="1"/>
      <c r="B59" s="46" t="s">
        <v>72</v>
      </c>
      <c r="C59" s="119"/>
      <c r="D59" s="1"/>
      <c r="E59" s="1"/>
      <c r="F59" s="1"/>
      <c r="G59" s="1"/>
      <c r="H59" s="1"/>
      <c r="I59" s="1"/>
      <c r="J59" s="1"/>
      <c r="K59" s="1"/>
      <c r="L59" s="1"/>
      <c r="M59" s="1"/>
      <c r="N59" s="1"/>
      <c r="O59" s="1"/>
      <c r="P59" s="1"/>
    </row>
    <row r="60">
      <c r="A60" s="1"/>
      <c r="B60" s="74" t="s">
        <v>74</v>
      </c>
      <c r="C60" s="119"/>
      <c r="D60" s="1"/>
      <c r="E60" s="1"/>
      <c r="F60" s="1"/>
      <c r="G60" s="1"/>
      <c r="H60" s="1"/>
      <c r="I60" s="1"/>
      <c r="J60" s="1"/>
      <c r="K60" s="1"/>
      <c r="L60" s="1"/>
      <c r="M60" s="1"/>
      <c r="N60" s="1"/>
      <c r="O60" s="1"/>
      <c r="P60" s="1"/>
    </row>
    <row r="61">
      <c r="A61" s="1"/>
      <c r="B61" s="46" t="s">
        <v>75</v>
      </c>
      <c r="C61" s="119"/>
      <c r="D61" s="1"/>
      <c r="E61" s="1"/>
      <c r="F61" s="1"/>
      <c r="G61" s="1"/>
      <c r="H61" s="1"/>
      <c r="I61" s="1"/>
      <c r="J61" s="1"/>
      <c r="K61" s="1"/>
      <c r="L61" s="1"/>
      <c r="M61" s="1"/>
      <c r="N61" s="1"/>
      <c r="O61" s="1"/>
      <c r="P61" s="1"/>
    </row>
    <row r="62">
      <c r="A62" s="1"/>
      <c r="B62" s="46" t="s">
        <v>77</v>
      </c>
      <c r="C62" s="119"/>
      <c r="D62" s="1"/>
      <c r="E62" s="1"/>
      <c r="F62" s="1"/>
      <c r="G62" s="1"/>
      <c r="H62" s="1"/>
      <c r="I62" s="1"/>
      <c r="J62" s="1"/>
      <c r="K62" s="1"/>
      <c r="L62" s="1"/>
      <c r="M62" s="1"/>
      <c r="N62" s="1"/>
      <c r="O62" s="1"/>
      <c r="P62" s="1"/>
    </row>
    <row r="63">
      <c r="A63" s="1"/>
      <c r="B63" s="46" t="s">
        <v>79</v>
      </c>
      <c r="C63" s="76">
        <f>I78</f>
        <v>1312.5</v>
      </c>
      <c r="D63" s="1"/>
      <c r="E63" s="1"/>
      <c r="F63" s="1"/>
      <c r="G63" s="1"/>
      <c r="H63" s="1"/>
      <c r="I63" s="1"/>
      <c r="J63" s="1"/>
      <c r="K63" s="1"/>
      <c r="L63" s="1"/>
      <c r="M63" s="1"/>
      <c r="N63" s="1"/>
      <c r="O63" s="1"/>
      <c r="P63" s="1"/>
    </row>
    <row r="64">
      <c r="A64" s="1"/>
      <c r="B64" s="46" t="s">
        <v>80</v>
      </c>
      <c r="C64" s="76">
        <f>C63/1.1</f>
        <v>1193.181818</v>
      </c>
      <c r="D64" s="1"/>
      <c r="E64" s="1"/>
      <c r="F64" s="1"/>
      <c r="G64" s="1"/>
      <c r="H64" s="1"/>
      <c r="I64" s="1"/>
      <c r="J64" s="1"/>
      <c r="K64" s="1"/>
      <c r="L64" s="1"/>
      <c r="M64" s="1"/>
      <c r="N64" s="1"/>
      <c r="O64" s="1"/>
      <c r="P64" s="1"/>
    </row>
    <row r="65">
      <c r="A65" s="1"/>
      <c r="B65" s="46" t="s">
        <v>81</v>
      </c>
      <c r="C65" s="77">
        <v>980.0</v>
      </c>
      <c r="D65" s="46" t="s">
        <v>82</v>
      </c>
      <c r="E65" s="78">
        <f>1-(C65/C63)</f>
        <v>0.2533333333</v>
      </c>
      <c r="F65" s="1"/>
      <c r="G65" s="1"/>
      <c r="H65" s="1"/>
      <c r="I65" s="1"/>
      <c r="J65" s="1"/>
      <c r="K65" s="1"/>
      <c r="L65" s="1"/>
      <c r="M65" s="1"/>
      <c r="N65" s="1"/>
      <c r="O65" s="1"/>
      <c r="P65" s="1"/>
    </row>
    <row r="66">
      <c r="A66" s="1"/>
      <c r="B66" s="46" t="s">
        <v>83</v>
      </c>
      <c r="C66" s="76">
        <f>C65-(C65*0.1)</f>
        <v>882</v>
      </c>
      <c r="D66" s="48"/>
      <c r="E66" s="1"/>
      <c r="F66" s="1"/>
      <c r="G66" s="1"/>
      <c r="H66" s="1"/>
      <c r="I66" s="1"/>
      <c r="J66" s="1"/>
      <c r="K66" s="1"/>
      <c r="L66" s="1"/>
      <c r="M66" s="1"/>
      <c r="N66" s="1"/>
      <c r="O66" s="1"/>
      <c r="P66" s="1"/>
    </row>
    <row r="67">
      <c r="A67" s="1"/>
      <c r="B67" s="46" t="s">
        <v>48</v>
      </c>
      <c r="C67" s="118">
        <v>1.0</v>
      </c>
      <c r="D67" s="48"/>
      <c r="E67" s="1"/>
      <c r="F67" s="1"/>
      <c r="G67" s="1"/>
      <c r="H67" s="1"/>
      <c r="I67" s="1"/>
      <c r="J67" s="1"/>
      <c r="K67" s="1"/>
      <c r="L67" s="1"/>
      <c r="M67" s="1"/>
      <c r="N67" s="1"/>
      <c r="O67" s="1"/>
      <c r="P67" s="1"/>
    </row>
    <row r="68">
      <c r="A68" s="1"/>
      <c r="B68" s="46" t="s">
        <v>50</v>
      </c>
      <c r="C68" s="51">
        <v>46111.625</v>
      </c>
      <c r="D68" s="50" t="s">
        <v>51</v>
      </c>
      <c r="E68" s="51">
        <v>46125.45832175926</v>
      </c>
      <c r="F68" s="1"/>
      <c r="G68" s="1"/>
      <c r="H68" s="1"/>
      <c r="I68" s="1"/>
      <c r="J68" s="1"/>
      <c r="K68" s="1"/>
      <c r="L68" s="1"/>
      <c r="M68" s="1"/>
      <c r="N68" s="1"/>
      <c r="O68" s="1"/>
      <c r="P68" s="1"/>
    </row>
    <row r="69">
      <c r="A69" s="1"/>
      <c r="B69" s="119"/>
      <c r="C69" s="120"/>
      <c r="D69" s="121"/>
      <c r="E69" s="119"/>
      <c r="F69" s="1"/>
      <c r="G69" s="1"/>
      <c r="H69" s="48"/>
      <c r="I69" s="1"/>
      <c r="J69" s="1"/>
      <c r="K69" s="1"/>
      <c r="L69" s="1"/>
      <c r="M69" s="1"/>
      <c r="N69" s="1"/>
      <c r="O69" s="1"/>
      <c r="P69" s="1"/>
    </row>
    <row r="70">
      <c r="A70" s="1"/>
      <c r="B70" s="46" t="s">
        <v>84</v>
      </c>
      <c r="C70" s="46" t="s">
        <v>85</v>
      </c>
      <c r="D70" s="81" t="s">
        <v>86</v>
      </c>
      <c r="E70" s="46" t="s">
        <v>57</v>
      </c>
      <c r="F70" s="46" t="s">
        <v>59</v>
      </c>
      <c r="G70" s="46" t="s">
        <v>87</v>
      </c>
      <c r="H70" s="81" t="s">
        <v>88</v>
      </c>
      <c r="I70" s="46" t="s">
        <v>89</v>
      </c>
      <c r="J70" s="46" t="s">
        <v>90</v>
      </c>
      <c r="K70" s="1"/>
      <c r="L70" s="1"/>
      <c r="M70" s="1"/>
      <c r="N70" s="1"/>
      <c r="O70" s="1"/>
      <c r="P70" s="1"/>
    </row>
    <row r="71">
      <c r="A71" s="1"/>
      <c r="B71" s="122" t="s">
        <v>119</v>
      </c>
      <c r="C71" s="123" t="s">
        <v>92</v>
      </c>
      <c r="D71" s="84" t="str">
        <f t="shared" ref="D71:D77" si="10">if(C71="","","(無期限)")</f>
        <v>(無期限)</v>
      </c>
      <c r="E71" s="134">
        <v>750.0</v>
      </c>
      <c r="F71" s="85">
        <v>750.0</v>
      </c>
      <c r="G71" s="83">
        <v>0.0</v>
      </c>
      <c r="H71" s="101">
        <v>0.27</v>
      </c>
      <c r="I71" s="87">
        <f t="shared" ref="I71:I77" si="11">H71*F71</f>
        <v>202.5</v>
      </c>
      <c r="J71" s="88">
        <f t="shared" ref="J71:J77" si="12">G71*H71</f>
        <v>0</v>
      </c>
      <c r="K71" s="1"/>
      <c r="L71" s="1"/>
      <c r="M71" s="1"/>
      <c r="N71" s="1"/>
      <c r="O71" s="1"/>
      <c r="P71" s="1"/>
    </row>
    <row r="72">
      <c r="A72" s="1"/>
      <c r="B72" s="122" t="s">
        <v>120</v>
      </c>
      <c r="C72" s="83" t="s">
        <v>92</v>
      </c>
      <c r="D72" s="84" t="str">
        <f t="shared" si="10"/>
        <v>(無期限)</v>
      </c>
      <c r="E72" s="84">
        <v>750.0</v>
      </c>
      <c r="F72" s="85">
        <v>750.0</v>
      </c>
      <c r="G72" s="83">
        <v>0.0</v>
      </c>
      <c r="H72" s="101">
        <v>0.27</v>
      </c>
      <c r="I72" s="87">
        <f t="shared" si="11"/>
        <v>202.5</v>
      </c>
      <c r="J72" s="88">
        <f t="shared" si="12"/>
        <v>0</v>
      </c>
      <c r="K72" s="1"/>
      <c r="L72" s="1"/>
      <c r="M72" s="1"/>
      <c r="N72" s="1"/>
      <c r="O72" s="1"/>
      <c r="P72" s="1"/>
    </row>
    <row r="73">
      <c r="A73" s="1"/>
      <c r="B73" s="122" t="s">
        <v>121</v>
      </c>
      <c r="C73" s="83" t="s">
        <v>92</v>
      </c>
      <c r="D73" s="84" t="str">
        <f t="shared" si="10"/>
        <v>(無期限)</v>
      </c>
      <c r="E73" s="84">
        <v>750.0</v>
      </c>
      <c r="F73" s="85">
        <v>750.0</v>
      </c>
      <c r="G73" s="83">
        <v>0.0</v>
      </c>
      <c r="H73" s="101">
        <v>0.27</v>
      </c>
      <c r="I73" s="87">
        <f t="shared" si="11"/>
        <v>202.5</v>
      </c>
      <c r="J73" s="88">
        <f t="shared" si="12"/>
        <v>0</v>
      </c>
      <c r="K73" s="1"/>
      <c r="L73" s="1"/>
      <c r="M73" s="1"/>
      <c r="N73" s="1"/>
      <c r="O73" s="1"/>
      <c r="P73" s="1"/>
    </row>
    <row r="74">
      <c r="A74" s="1"/>
      <c r="B74" s="122" t="s">
        <v>122</v>
      </c>
      <c r="C74" s="83" t="s">
        <v>92</v>
      </c>
      <c r="D74" s="84" t="str">
        <f t="shared" si="10"/>
        <v>(無期限)</v>
      </c>
      <c r="E74" s="84">
        <v>750.0</v>
      </c>
      <c r="F74" s="85">
        <v>750.0</v>
      </c>
      <c r="G74" s="83">
        <v>0.0</v>
      </c>
      <c r="H74" s="101">
        <v>0.27</v>
      </c>
      <c r="I74" s="87">
        <f t="shared" si="11"/>
        <v>202.5</v>
      </c>
      <c r="J74" s="88">
        <f t="shared" si="12"/>
        <v>0</v>
      </c>
      <c r="K74" s="1"/>
      <c r="L74" s="1"/>
      <c r="M74" s="1"/>
      <c r="N74" s="1"/>
      <c r="O74" s="1"/>
      <c r="P74" s="1"/>
    </row>
    <row r="75">
      <c r="A75" s="1"/>
      <c r="B75" s="122" t="s">
        <v>123</v>
      </c>
      <c r="C75" s="83" t="s">
        <v>92</v>
      </c>
      <c r="D75" s="84" t="str">
        <f t="shared" si="10"/>
        <v>(無期限)</v>
      </c>
      <c r="E75" s="84">
        <v>750.0</v>
      </c>
      <c r="F75" s="85">
        <v>750.0</v>
      </c>
      <c r="G75" s="83">
        <v>0.0</v>
      </c>
      <c r="H75" s="101">
        <v>0.27</v>
      </c>
      <c r="I75" s="87">
        <f t="shared" si="11"/>
        <v>202.5</v>
      </c>
      <c r="J75" s="88">
        <f t="shared" si="12"/>
        <v>0</v>
      </c>
      <c r="K75" s="1"/>
      <c r="L75" s="1"/>
      <c r="M75" s="1"/>
      <c r="N75" s="1"/>
      <c r="O75" s="1"/>
      <c r="P75" s="1"/>
    </row>
    <row r="76">
      <c r="A76" s="1"/>
      <c r="B76" s="122" t="s">
        <v>124</v>
      </c>
      <c r="C76" s="83" t="s">
        <v>92</v>
      </c>
      <c r="D76" s="84" t="str">
        <f t="shared" si="10"/>
        <v>(無期限)</v>
      </c>
      <c r="E76" s="84">
        <f t="shared" ref="E76:E77" si="13">F76+G76</f>
        <v>1</v>
      </c>
      <c r="F76" s="85">
        <v>1.0</v>
      </c>
      <c r="G76" s="83">
        <v>0.0</v>
      </c>
      <c r="H76" s="101">
        <v>300.0</v>
      </c>
      <c r="I76" s="87">
        <f t="shared" si="11"/>
        <v>300</v>
      </c>
      <c r="J76" s="88">
        <f t="shared" si="12"/>
        <v>0</v>
      </c>
      <c r="K76" s="1"/>
      <c r="L76" s="1"/>
      <c r="M76" s="1"/>
      <c r="N76" s="1"/>
      <c r="O76" s="1"/>
      <c r="P76" s="1"/>
    </row>
    <row r="77">
      <c r="A77" s="1"/>
      <c r="B77" s="124" t="s">
        <v>125</v>
      </c>
      <c r="C77" s="85" t="s">
        <v>126</v>
      </c>
      <c r="D77" s="85" t="str">
        <f t="shared" si="10"/>
        <v>(無期限)</v>
      </c>
      <c r="E77" s="85">
        <f t="shared" si="13"/>
        <v>10000</v>
      </c>
      <c r="F77" s="85">
        <v>0.0</v>
      </c>
      <c r="G77" s="85">
        <v>10000.0</v>
      </c>
      <c r="H77" s="125">
        <v>0.01</v>
      </c>
      <c r="I77" s="126">
        <f t="shared" si="11"/>
        <v>0</v>
      </c>
      <c r="J77" s="125">
        <f t="shared" si="12"/>
        <v>100</v>
      </c>
      <c r="K77" s="1"/>
      <c r="L77" s="1"/>
      <c r="M77" s="1"/>
      <c r="N77" s="1"/>
      <c r="O77" s="1"/>
      <c r="P77" s="1"/>
    </row>
    <row r="78">
      <c r="A78" s="1"/>
      <c r="B78" s="1"/>
      <c r="C78" s="1"/>
      <c r="D78" s="1"/>
      <c r="E78" s="1"/>
      <c r="F78" s="1"/>
      <c r="G78" s="89" t="s">
        <v>93</v>
      </c>
      <c r="H78" s="28"/>
      <c r="I78" s="59">
        <f>SUM(I71:I77)</f>
        <v>1312.5</v>
      </c>
      <c r="J78" s="88">
        <f>sum(J71:J77)</f>
        <v>100</v>
      </c>
      <c r="K78" s="1"/>
      <c r="L78" s="1"/>
      <c r="M78" s="1"/>
      <c r="N78" s="1"/>
      <c r="O78" s="1"/>
      <c r="P78" s="1"/>
    </row>
    <row r="79">
      <c r="A79" s="1"/>
      <c r="B79" s="1"/>
      <c r="C79" s="1"/>
      <c r="D79" s="1"/>
      <c r="E79" s="1"/>
      <c r="F79" s="1"/>
      <c r="G79" s="89" t="s">
        <v>94</v>
      </c>
      <c r="H79" s="28"/>
      <c r="I79" s="127">
        <f>C65</f>
        <v>980</v>
      </c>
      <c r="J79" s="128" t="s">
        <v>127</v>
      </c>
      <c r="K79" s="1"/>
      <c r="L79" s="1"/>
      <c r="M79" s="1"/>
      <c r="N79" s="1"/>
      <c r="O79" s="1"/>
      <c r="P79" s="1"/>
    </row>
    <row r="80">
      <c r="A80" s="1"/>
      <c r="B80" s="1"/>
      <c r="C80" s="1"/>
      <c r="D80" s="1"/>
      <c r="E80" s="1"/>
      <c r="F80" s="1"/>
      <c r="G80" s="89" t="s">
        <v>96</v>
      </c>
      <c r="H80" s="28"/>
      <c r="I80" s="92">
        <f>iferror(1-(I79/I78),"")</f>
        <v>0.2533333333</v>
      </c>
      <c r="J80" s="129">
        <f>J78/I79</f>
        <v>0.1020408163</v>
      </c>
      <c r="K80" s="1"/>
      <c r="L80" s="1"/>
      <c r="M80" s="1"/>
      <c r="N80" s="1"/>
      <c r="O80" s="1"/>
      <c r="P80" s="1"/>
    </row>
    <row r="81">
      <c r="A81" s="1"/>
      <c r="B81" s="1"/>
      <c r="C81" s="1"/>
      <c r="D81" s="1"/>
      <c r="E81" s="1"/>
      <c r="F81" s="1"/>
      <c r="G81" s="1"/>
      <c r="H81" s="1"/>
      <c r="I81" s="48" t="s">
        <v>128</v>
      </c>
      <c r="J81" s="94"/>
      <c r="K81" s="1"/>
      <c r="L81" s="1"/>
      <c r="M81" s="1"/>
      <c r="N81" s="1"/>
      <c r="O81" s="1"/>
      <c r="P81" s="1"/>
    </row>
    <row r="82">
      <c r="A82" s="1"/>
      <c r="B82" s="1"/>
      <c r="C82" s="1"/>
      <c r="D82" s="1"/>
      <c r="E82" s="1"/>
      <c r="F82" s="1"/>
      <c r="G82" s="1"/>
      <c r="H82" s="1"/>
      <c r="I82" s="48"/>
      <c r="J82" s="1"/>
      <c r="K82" s="1"/>
      <c r="L82" s="1"/>
      <c r="M82" s="1"/>
      <c r="N82" s="1"/>
      <c r="O82" s="1"/>
      <c r="P82" s="1"/>
    </row>
    <row r="83">
      <c r="A83" s="1"/>
      <c r="B83" s="1"/>
      <c r="C83" s="1"/>
      <c r="D83" s="1"/>
      <c r="E83" s="1"/>
      <c r="F83" s="1"/>
      <c r="G83" s="1"/>
      <c r="H83" s="1"/>
      <c r="I83" s="130"/>
      <c r="J83" s="130"/>
      <c r="K83" s="1"/>
      <c r="L83" s="1"/>
      <c r="M83" s="1"/>
      <c r="N83" s="1"/>
      <c r="O83" s="1"/>
      <c r="P83" s="1"/>
    </row>
    <row r="84">
      <c r="A84" s="1"/>
      <c r="B84" s="45" t="s">
        <v>129</v>
      </c>
      <c r="C84" s="5"/>
      <c r="D84" s="5"/>
      <c r="E84" s="5"/>
      <c r="F84" s="5"/>
      <c r="G84" s="5"/>
      <c r="H84" s="5"/>
      <c r="I84" s="5"/>
      <c r="J84" s="5"/>
      <c r="K84" s="1"/>
      <c r="L84" s="1"/>
      <c r="M84" s="1"/>
      <c r="N84" s="1"/>
      <c r="O84" s="1"/>
      <c r="P84" s="1"/>
    </row>
    <row r="85">
      <c r="A85" s="1"/>
      <c r="B85" s="104" t="s">
        <v>106</v>
      </c>
      <c r="C85" s="1"/>
      <c r="D85" s="1"/>
      <c r="E85" s="1"/>
      <c r="F85" s="1"/>
      <c r="G85" s="1"/>
      <c r="H85" s="1"/>
      <c r="I85" s="1"/>
      <c r="J85" s="1"/>
      <c r="K85" s="1"/>
      <c r="L85" s="1"/>
      <c r="M85" s="1"/>
      <c r="N85" s="1"/>
      <c r="O85" s="1"/>
      <c r="P85" s="1"/>
    </row>
    <row r="86">
      <c r="A86" s="1"/>
      <c r="B86" s="46" t="s">
        <v>72</v>
      </c>
      <c r="C86" s="293"/>
      <c r="D86" s="1"/>
      <c r="E86" s="1"/>
      <c r="F86" s="1"/>
      <c r="G86" s="1"/>
      <c r="H86" s="1"/>
      <c r="I86" s="1"/>
      <c r="J86" s="1"/>
      <c r="K86" s="1"/>
      <c r="L86" s="1"/>
      <c r="M86" s="1"/>
      <c r="N86" s="1"/>
      <c r="O86" s="1"/>
      <c r="P86" s="1"/>
    </row>
    <row r="87">
      <c r="A87" s="1"/>
      <c r="B87" s="74" t="s">
        <v>74</v>
      </c>
      <c r="C87" s="119"/>
      <c r="D87" s="1"/>
      <c r="E87" s="1"/>
      <c r="F87" s="1"/>
      <c r="G87" s="1"/>
      <c r="H87" s="1"/>
      <c r="I87" s="1"/>
      <c r="J87" s="1"/>
      <c r="K87" s="1"/>
      <c r="L87" s="1"/>
      <c r="M87" s="1"/>
      <c r="N87" s="1"/>
      <c r="O87" s="1"/>
      <c r="P87" s="1"/>
    </row>
    <row r="88">
      <c r="A88" s="1"/>
      <c r="B88" s="46" t="s">
        <v>75</v>
      </c>
      <c r="C88" s="119"/>
      <c r="D88" s="1"/>
      <c r="E88" s="1"/>
      <c r="F88" s="1"/>
      <c r="G88" s="1"/>
      <c r="H88" s="1"/>
      <c r="I88" s="1"/>
      <c r="J88" s="1"/>
      <c r="K88" s="1"/>
      <c r="L88" s="1"/>
      <c r="M88" s="1"/>
      <c r="N88" s="1"/>
      <c r="O88" s="1"/>
      <c r="P88" s="1"/>
    </row>
    <row r="89">
      <c r="A89" s="1"/>
      <c r="B89" s="46" t="s">
        <v>77</v>
      </c>
      <c r="C89" s="120"/>
      <c r="D89" s="1"/>
      <c r="E89" s="1"/>
      <c r="F89" s="1"/>
      <c r="G89" s="1"/>
      <c r="H89" s="1"/>
      <c r="I89" s="1"/>
      <c r="J89" s="1"/>
      <c r="K89" s="1"/>
      <c r="L89" s="1"/>
      <c r="M89" s="1"/>
      <c r="N89" s="1"/>
      <c r="O89" s="1"/>
      <c r="P89" s="1"/>
    </row>
    <row r="90">
      <c r="A90" s="1"/>
      <c r="B90" s="46" t="s">
        <v>79</v>
      </c>
      <c r="C90" s="76">
        <f>I103</f>
        <v>3225</v>
      </c>
      <c r="D90" s="1"/>
      <c r="E90" s="1"/>
      <c r="F90" s="1"/>
      <c r="G90" s="1"/>
      <c r="H90" s="1"/>
      <c r="I90" s="1"/>
      <c r="J90" s="1"/>
      <c r="K90" s="1"/>
      <c r="L90" s="1"/>
      <c r="M90" s="1"/>
      <c r="N90" s="1"/>
      <c r="O90" s="1"/>
      <c r="P90" s="1"/>
    </row>
    <row r="91">
      <c r="A91" s="1"/>
      <c r="B91" s="46" t="s">
        <v>80</v>
      </c>
      <c r="C91" s="76">
        <f>C90/1.1</f>
        <v>2931.818182</v>
      </c>
      <c r="D91" s="1"/>
      <c r="E91" s="130"/>
      <c r="F91" s="1"/>
      <c r="G91" s="132"/>
      <c r="H91" s="1"/>
      <c r="I91" s="1"/>
      <c r="J91" s="1"/>
      <c r="K91" s="1"/>
      <c r="L91" s="1"/>
      <c r="M91" s="1"/>
      <c r="N91" s="1"/>
      <c r="O91" s="1"/>
      <c r="P91" s="1"/>
    </row>
    <row r="92">
      <c r="A92" s="1"/>
      <c r="B92" s="46" t="s">
        <v>81</v>
      </c>
      <c r="C92" s="77">
        <v>2980.0</v>
      </c>
      <c r="D92" s="81" t="s">
        <v>82</v>
      </c>
      <c r="E92" s="78">
        <f>1-(C92/C90)</f>
        <v>0.07596899225</v>
      </c>
      <c r="F92" s="1"/>
      <c r="G92" s="1"/>
      <c r="H92" s="1"/>
      <c r="I92" s="1"/>
      <c r="J92" s="1"/>
      <c r="K92" s="1"/>
      <c r="L92" s="1"/>
      <c r="M92" s="1"/>
      <c r="N92" s="1"/>
      <c r="O92" s="1"/>
      <c r="P92" s="1"/>
    </row>
    <row r="93">
      <c r="A93" s="1"/>
      <c r="B93" s="46" t="s">
        <v>83</v>
      </c>
      <c r="C93" s="76">
        <f>C92-(C92*0.1)</f>
        <v>2682</v>
      </c>
      <c r="D93" s="48"/>
      <c r="E93" s="1"/>
      <c r="F93" s="1"/>
      <c r="G93" s="1"/>
      <c r="H93" s="1"/>
      <c r="I93" s="1"/>
      <c r="J93" s="1"/>
      <c r="K93" s="1"/>
      <c r="L93" s="1"/>
      <c r="M93" s="1"/>
      <c r="N93" s="1"/>
      <c r="O93" s="1"/>
      <c r="P93" s="1"/>
    </row>
    <row r="94">
      <c r="A94" s="1"/>
      <c r="B94" s="46" t="s">
        <v>48</v>
      </c>
      <c r="C94" s="107">
        <v>2.0</v>
      </c>
      <c r="D94" s="48"/>
      <c r="E94" s="130"/>
      <c r="F94" s="1"/>
      <c r="G94" s="132"/>
      <c r="H94" s="1"/>
      <c r="I94" s="1"/>
      <c r="J94" s="1"/>
      <c r="K94" s="1"/>
      <c r="L94" s="1"/>
      <c r="M94" s="1"/>
      <c r="N94" s="1"/>
      <c r="O94" s="1"/>
      <c r="P94" s="1"/>
    </row>
    <row r="95">
      <c r="A95" s="1"/>
      <c r="B95" s="46" t="s">
        <v>50</v>
      </c>
      <c r="C95" s="51">
        <v>46111.625</v>
      </c>
      <c r="D95" s="50" t="s">
        <v>51</v>
      </c>
      <c r="E95" s="51">
        <v>46125.45832175926</v>
      </c>
      <c r="F95" s="1"/>
      <c r="G95" s="1"/>
      <c r="H95" s="1"/>
      <c r="I95" s="1"/>
      <c r="J95" s="1"/>
      <c r="K95" s="1"/>
      <c r="L95" s="1"/>
      <c r="M95" s="1"/>
      <c r="N95" s="1"/>
      <c r="O95" s="1"/>
      <c r="P95" s="1"/>
    </row>
    <row r="96">
      <c r="A96" s="1"/>
      <c r="B96" s="1"/>
      <c r="C96" s="132"/>
      <c r="D96" s="48"/>
      <c r="E96" s="1"/>
      <c r="F96" s="1"/>
      <c r="G96" s="1"/>
      <c r="H96" s="48"/>
      <c r="I96" s="1"/>
      <c r="J96" s="1"/>
      <c r="K96" s="1"/>
      <c r="L96" s="1"/>
      <c r="M96" s="1"/>
      <c r="N96" s="1"/>
      <c r="O96" s="1"/>
      <c r="P96" s="1"/>
    </row>
    <row r="97">
      <c r="A97" s="1"/>
      <c r="B97" s="46" t="s">
        <v>84</v>
      </c>
      <c r="C97" s="46" t="s">
        <v>85</v>
      </c>
      <c r="D97" s="81" t="s">
        <v>86</v>
      </c>
      <c r="E97" s="46" t="s">
        <v>57</v>
      </c>
      <c r="F97" s="46" t="s">
        <v>59</v>
      </c>
      <c r="G97" s="46" t="s">
        <v>87</v>
      </c>
      <c r="H97" s="81" t="s">
        <v>88</v>
      </c>
      <c r="I97" s="46" t="s">
        <v>89</v>
      </c>
      <c r="J97" s="46" t="s">
        <v>90</v>
      </c>
      <c r="K97" s="1"/>
      <c r="L97" s="1"/>
      <c r="M97" s="1"/>
      <c r="N97" s="1"/>
      <c r="O97" s="1"/>
      <c r="P97" s="1"/>
    </row>
    <row r="98">
      <c r="A98" s="1"/>
      <c r="B98" s="122" t="s">
        <v>133</v>
      </c>
      <c r="C98" s="123" t="s">
        <v>92</v>
      </c>
      <c r="D98" s="84" t="str">
        <f t="shared" ref="D98:D102" si="14">if(C98="","","(無期限)")</f>
        <v>(無期限)</v>
      </c>
      <c r="E98" s="134">
        <v>120.0</v>
      </c>
      <c r="F98" s="85">
        <v>120.0</v>
      </c>
      <c r="G98" s="83">
        <v>0.0</v>
      </c>
      <c r="H98" s="135">
        <v>10.0</v>
      </c>
      <c r="I98" s="87">
        <f t="shared" ref="I98:I102" si="15">H98*F98</f>
        <v>1200</v>
      </c>
      <c r="J98" s="88">
        <f t="shared" ref="J98:J102" si="16">G98*H98</f>
        <v>0</v>
      </c>
      <c r="K98" s="1"/>
      <c r="L98" s="1"/>
      <c r="M98" s="1"/>
      <c r="N98" s="1"/>
      <c r="O98" s="1"/>
      <c r="P98" s="1"/>
    </row>
    <row r="99">
      <c r="A99" s="1"/>
      <c r="B99" s="122" t="s">
        <v>134</v>
      </c>
      <c r="C99" s="83" t="s">
        <v>92</v>
      </c>
      <c r="D99" s="84" t="str">
        <f t="shared" si="14"/>
        <v>(無期限)</v>
      </c>
      <c r="E99" s="84">
        <v>75.0</v>
      </c>
      <c r="F99" s="85">
        <v>75.0</v>
      </c>
      <c r="G99" s="83">
        <v>0.0</v>
      </c>
      <c r="H99" s="135">
        <v>15.0</v>
      </c>
      <c r="I99" s="87">
        <f t="shared" si="15"/>
        <v>1125</v>
      </c>
      <c r="J99" s="88">
        <f t="shared" si="16"/>
        <v>0</v>
      </c>
      <c r="K99" s="1"/>
      <c r="L99" s="1"/>
      <c r="M99" s="1"/>
      <c r="N99" s="1"/>
      <c r="O99" s="1"/>
      <c r="P99" s="1"/>
    </row>
    <row r="100">
      <c r="A100" s="1"/>
      <c r="B100" s="122" t="s">
        <v>135</v>
      </c>
      <c r="C100" s="83" t="s">
        <v>92</v>
      </c>
      <c r="D100" s="84" t="str">
        <f t="shared" si="14"/>
        <v>(無期限)</v>
      </c>
      <c r="E100" s="84">
        <v>10.0</v>
      </c>
      <c r="F100" s="85">
        <v>10.0</v>
      </c>
      <c r="G100" s="83">
        <v>0.0</v>
      </c>
      <c r="H100" s="135">
        <v>30.0</v>
      </c>
      <c r="I100" s="87">
        <f t="shared" si="15"/>
        <v>300</v>
      </c>
      <c r="J100" s="88">
        <f t="shared" si="16"/>
        <v>0</v>
      </c>
      <c r="K100" s="1"/>
      <c r="L100" s="1"/>
      <c r="M100" s="1"/>
      <c r="N100" s="1"/>
      <c r="O100" s="1"/>
      <c r="P100" s="1"/>
    </row>
    <row r="101">
      <c r="A101" s="1"/>
      <c r="B101" s="122" t="s">
        <v>124</v>
      </c>
      <c r="C101" s="83" t="s">
        <v>92</v>
      </c>
      <c r="D101" s="84" t="str">
        <f t="shared" si="14"/>
        <v>(無期限)</v>
      </c>
      <c r="E101" s="84">
        <v>2.0</v>
      </c>
      <c r="F101" s="85">
        <v>2.0</v>
      </c>
      <c r="G101" s="83">
        <v>0.0</v>
      </c>
      <c r="H101" s="101">
        <v>300.0</v>
      </c>
      <c r="I101" s="87">
        <f t="shared" si="15"/>
        <v>600</v>
      </c>
      <c r="J101" s="88">
        <f t="shared" si="16"/>
        <v>0</v>
      </c>
      <c r="K101" s="1"/>
      <c r="L101" s="1"/>
      <c r="M101" s="1"/>
      <c r="N101" s="1"/>
      <c r="O101" s="1"/>
      <c r="P101" s="1"/>
    </row>
    <row r="102">
      <c r="A102" s="1"/>
      <c r="B102" s="124" t="s">
        <v>125</v>
      </c>
      <c r="C102" s="85" t="s">
        <v>126</v>
      </c>
      <c r="D102" s="85" t="str">
        <f t="shared" si="14"/>
        <v>(無期限)</v>
      </c>
      <c r="E102" s="85">
        <f>F102+G102</f>
        <v>30000</v>
      </c>
      <c r="F102" s="85">
        <v>0.0</v>
      </c>
      <c r="G102" s="85">
        <v>30000.0</v>
      </c>
      <c r="H102" s="125">
        <v>0.01</v>
      </c>
      <c r="I102" s="126">
        <f t="shared" si="15"/>
        <v>0</v>
      </c>
      <c r="J102" s="125">
        <f t="shared" si="16"/>
        <v>300</v>
      </c>
      <c r="K102" s="1"/>
      <c r="L102" s="1"/>
      <c r="M102" s="1"/>
      <c r="N102" s="1"/>
      <c r="O102" s="1"/>
      <c r="P102" s="1"/>
    </row>
    <row r="103">
      <c r="A103" s="1"/>
      <c r="B103" s="1"/>
      <c r="C103" s="1"/>
      <c r="D103" s="1"/>
      <c r="E103" s="1"/>
      <c r="F103" s="1"/>
      <c r="G103" s="89" t="s">
        <v>93</v>
      </c>
      <c r="H103" s="28"/>
      <c r="I103" s="59">
        <f>SUM(I98:I102)</f>
        <v>3225</v>
      </c>
      <c r="J103" s="88">
        <f>sum(J98:J102)</f>
        <v>300</v>
      </c>
      <c r="K103" s="1"/>
      <c r="L103" s="1"/>
      <c r="M103" s="1"/>
      <c r="N103" s="1"/>
      <c r="O103" s="1"/>
      <c r="P103" s="1"/>
    </row>
    <row r="104">
      <c r="A104" s="1"/>
      <c r="B104" s="1"/>
      <c r="C104" s="1"/>
      <c r="D104" s="1"/>
      <c r="E104" s="1"/>
      <c r="F104" s="1"/>
      <c r="G104" s="89" t="s">
        <v>94</v>
      </c>
      <c r="H104" s="28"/>
      <c r="I104" s="127">
        <f>C92</f>
        <v>2980</v>
      </c>
      <c r="J104" s="128" t="s">
        <v>127</v>
      </c>
      <c r="K104" s="1"/>
      <c r="L104" s="1"/>
      <c r="M104" s="1"/>
      <c r="N104" s="1"/>
      <c r="O104" s="1"/>
      <c r="P104" s="1"/>
    </row>
    <row r="105">
      <c r="A105" s="1"/>
      <c r="B105" s="1"/>
      <c r="C105" s="1"/>
      <c r="D105" s="1"/>
      <c r="E105" s="1"/>
      <c r="F105" s="1"/>
      <c r="G105" s="89" t="s">
        <v>96</v>
      </c>
      <c r="H105" s="28"/>
      <c r="I105" s="92">
        <f>iferror(1-(I104/I103),"")</f>
        <v>0.07596899225</v>
      </c>
      <c r="J105" s="129">
        <f>J103/I104</f>
        <v>0.1006711409</v>
      </c>
      <c r="K105" s="1"/>
      <c r="L105" s="1"/>
      <c r="M105" s="1"/>
      <c r="N105" s="1"/>
      <c r="O105" s="1"/>
      <c r="P105" s="1"/>
    </row>
    <row r="106">
      <c r="A106" s="1"/>
      <c r="B106" s="1"/>
      <c r="C106" s="1"/>
      <c r="D106" s="1"/>
      <c r="E106" s="1"/>
      <c r="F106" s="1"/>
      <c r="G106" s="1"/>
      <c r="H106" s="1"/>
      <c r="I106" s="48" t="s">
        <v>128</v>
      </c>
      <c r="J106" s="94"/>
      <c r="K106" s="1"/>
      <c r="L106" s="1"/>
      <c r="M106" s="1"/>
      <c r="N106" s="1"/>
      <c r="O106" s="1"/>
      <c r="P106" s="1"/>
    </row>
    <row r="107">
      <c r="A107" s="1"/>
      <c r="B107" s="1"/>
      <c r="C107" s="1"/>
      <c r="D107" s="1"/>
      <c r="E107" s="1"/>
      <c r="F107" s="1"/>
      <c r="G107" s="1"/>
      <c r="H107" s="1"/>
      <c r="I107" s="48"/>
      <c r="J107" s="1"/>
      <c r="K107" s="1"/>
      <c r="L107" s="1"/>
      <c r="M107" s="1"/>
      <c r="N107" s="1"/>
      <c r="O107" s="1"/>
      <c r="P107" s="1"/>
    </row>
    <row r="108">
      <c r="A108" s="1"/>
      <c r="B108" s="1"/>
      <c r="C108" s="1"/>
      <c r="D108" s="1"/>
      <c r="E108" s="1"/>
      <c r="F108" s="1"/>
      <c r="G108" s="1"/>
      <c r="H108" s="1"/>
      <c r="I108" s="130"/>
      <c r="J108" s="130"/>
      <c r="K108" s="1"/>
      <c r="L108" s="1"/>
      <c r="M108" s="1"/>
      <c r="N108" s="1"/>
      <c r="O108" s="1"/>
      <c r="P108" s="1"/>
    </row>
    <row r="109">
      <c r="A109" s="1"/>
      <c r="B109" s="45" t="s">
        <v>136</v>
      </c>
      <c r="C109" s="5"/>
      <c r="D109" s="5"/>
      <c r="E109" s="5"/>
      <c r="F109" s="5"/>
      <c r="G109" s="5"/>
      <c r="H109" s="5"/>
      <c r="I109" s="5"/>
      <c r="J109" s="5"/>
      <c r="K109" s="1"/>
      <c r="L109" s="1"/>
      <c r="M109" s="1"/>
      <c r="N109" s="1"/>
      <c r="O109" s="1"/>
      <c r="P109" s="1"/>
    </row>
    <row r="110">
      <c r="A110" s="1"/>
      <c r="B110" s="104" t="s">
        <v>106</v>
      </c>
      <c r="C110" s="1"/>
      <c r="D110" s="1"/>
      <c r="E110" s="1"/>
      <c r="F110" s="1"/>
      <c r="G110" s="1"/>
      <c r="H110" s="1"/>
      <c r="I110" s="1"/>
      <c r="J110" s="1"/>
      <c r="K110" s="1"/>
      <c r="L110" s="1"/>
      <c r="M110" s="1"/>
      <c r="N110" s="1"/>
      <c r="O110" s="1"/>
      <c r="P110" s="1"/>
    </row>
    <row r="111">
      <c r="A111" s="1"/>
      <c r="B111" s="46" t="s">
        <v>72</v>
      </c>
      <c r="C111" s="293"/>
      <c r="D111" s="1"/>
      <c r="E111" s="1"/>
      <c r="F111" s="1"/>
      <c r="G111" s="1"/>
      <c r="H111" s="1"/>
      <c r="I111" s="1"/>
      <c r="J111" s="1"/>
      <c r="K111" s="1"/>
      <c r="L111" s="1"/>
      <c r="M111" s="1"/>
      <c r="N111" s="1"/>
      <c r="O111" s="1"/>
      <c r="P111" s="1"/>
    </row>
    <row r="112">
      <c r="A112" s="1"/>
      <c r="B112" s="74" t="s">
        <v>74</v>
      </c>
      <c r="C112" s="119"/>
      <c r="D112" s="1"/>
      <c r="E112" s="1"/>
      <c r="F112" s="1"/>
      <c r="G112" s="1"/>
      <c r="H112" s="1"/>
      <c r="I112" s="1"/>
      <c r="J112" s="1"/>
      <c r="K112" s="1"/>
      <c r="L112" s="1"/>
      <c r="M112" s="1"/>
      <c r="N112" s="1"/>
      <c r="O112" s="1"/>
      <c r="P112" s="1"/>
    </row>
    <row r="113">
      <c r="A113" s="1"/>
      <c r="B113" s="46" t="s">
        <v>75</v>
      </c>
      <c r="C113" s="119"/>
      <c r="D113" s="1"/>
      <c r="E113" s="1"/>
      <c r="F113" s="1"/>
      <c r="G113" s="1"/>
      <c r="H113" s="48"/>
      <c r="I113" s="94"/>
      <c r="J113" s="1"/>
      <c r="K113" s="1"/>
      <c r="L113" s="1"/>
      <c r="M113" s="1"/>
      <c r="N113" s="1"/>
      <c r="O113" s="1"/>
      <c r="P113" s="1"/>
    </row>
    <row r="114">
      <c r="A114" s="1"/>
      <c r="B114" s="46" t="s">
        <v>77</v>
      </c>
      <c r="C114" s="120"/>
      <c r="D114" s="1"/>
      <c r="E114" s="1"/>
      <c r="F114" s="1"/>
      <c r="G114" s="1"/>
      <c r="H114" s="48"/>
      <c r="I114" s="1"/>
      <c r="J114" s="1"/>
      <c r="K114" s="1"/>
      <c r="L114" s="1"/>
      <c r="M114" s="1"/>
      <c r="N114" s="1"/>
      <c r="O114" s="1"/>
      <c r="P114" s="1"/>
    </row>
    <row r="115">
      <c r="A115" s="1"/>
      <c r="B115" s="46" t="s">
        <v>79</v>
      </c>
      <c r="C115" s="76">
        <f>I127</f>
        <v>6000</v>
      </c>
      <c r="D115" s="1"/>
      <c r="E115" s="1"/>
      <c r="F115" s="1"/>
      <c r="G115" s="1"/>
      <c r="H115" s="130"/>
      <c r="I115" s="130"/>
      <c r="J115" s="1"/>
      <c r="K115" s="1"/>
      <c r="L115" s="1"/>
      <c r="M115" s="1"/>
      <c r="N115" s="1"/>
      <c r="O115" s="1"/>
      <c r="P115" s="1"/>
    </row>
    <row r="116">
      <c r="A116" s="1"/>
      <c r="B116" s="46" t="s">
        <v>80</v>
      </c>
      <c r="C116" s="76">
        <f>C115/1.1</f>
        <v>5454.545455</v>
      </c>
      <c r="D116" s="1"/>
      <c r="E116" s="130"/>
      <c r="F116" s="1"/>
      <c r="G116" s="132"/>
      <c r="H116" s="48"/>
      <c r="I116" s="94"/>
      <c r="J116" s="1"/>
      <c r="K116" s="1"/>
      <c r="L116" s="1"/>
      <c r="M116" s="1"/>
      <c r="N116" s="1"/>
      <c r="O116" s="1"/>
      <c r="P116" s="1"/>
    </row>
    <row r="117">
      <c r="A117" s="1"/>
      <c r="B117" s="46" t="s">
        <v>81</v>
      </c>
      <c r="C117" s="77">
        <v>4980.0</v>
      </c>
      <c r="D117" s="81" t="s">
        <v>82</v>
      </c>
      <c r="E117" s="78">
        <f>1-(C117/C115)</f>
        <v>0.17</v>
      </c>
      <c r="F117" s="1"/>
      <c r="G117" s="1"/>
      <c r="H117" s="48"/>
      <c r="I117" s="1"/>
      <c r="J117" s="1"/>
      <c r="K117" s="1"/>
      <c r="L117" s="1"/>
      <c r="M117" s="1"/>
      <c r="N117" s="1"/>
      <c r="O117" s="1"/>
      <c r="P117" s="1"/>
    </row>
    <row r="118">
      <c r="A118" s="1"/>
      <c r="B118" s="46" t="s">
        <v>83</v>
      </c>
      <c r="C118" s="76">
        <f>C117-(C117*0.1)</f>
        <v>4482</v>
      </c>
      <c r="D118" s="48"/>
      <c r="E118" s="1"/>
      <c r="F118" s="1"/>
      <c r="G118" s="1"/>
      <c r="H118" s="130"/>
      <c r="I118" s="130"/>
      <c r="J118" s="1"/>
      <c r="K118" s="1"/>
      <c r="L118" s="1"/>
      <c r="M118" s="1"/>
      <c r="N118" s="1"/>
      <c r="O118" s="1"/>
      <c r="P118" s="1"/>
    </row>
    <row r="119">
      <c r="A119" s="1"/>
      <c r="B119" s="46" t="s">
        <v>48</v>
      </c>
      <c r="C119" s="118">
        <v>1.0</v>
      </c>
      <c r="D119" s="48"/>
      <c r="E119" s="130"/>
      <c r="F119" s="1"/>
      <c r="G119" s="132"/>
      <c r="H119" s="1"/>
      <c r="I119" s="1"/>
      <c r="J119" s="1"/>
      <c r="K119" s="1"/>
      <c r="L119" s="1"/>
      <c r="M119" s="1"/>
      <c r="N119" s="1"/>
      <c r="O119" s="1"/>
      <c r="P119" s="1"/>
    </row>
    <row r="120">
      <c r="A120" s="1"/>
      <c r="B120" s="46" t="s">
        <v>50</v>
      </c>
      <c r="C120" s="51">
        <v>46111.625</v>
      </c>
      <c r="D120" s="50" t="s">
        <v>51</v>
      </c>
      <c r="E120" s="51">
        <v>46125.45832175926</v>
      </c>
      <c r="F120" s="1"/>
      <c r="G120" s="1"/>
      <c r="H120" s="1"/>
      <c r="I120" s="1"/>
      <c r="J120" s="1"/>
      <c r="K120" s="1"/>
      <c r="L120" s="1"/>
      <c r="M120" s="1"/>
      <c r="N120" s="1"/>
      <c r="O120" s="1"/>
      <c r="P120" s="1"/>
    </row>
    <row r="121">
      <c r="A121" s="1"/>
      <c r="B121" s="1"/>
      <c r="C121" s="132"/>
      <c r="D121" s="48"/>
      <c r="E121" s="1"/>
      <c r="F121" s="1"/>
      <c r="G121" s="1"/>
      <c r="H121" s="48"/>
      <c r="I121" s="1"/>
      <c r="J121" s="1"/>
      <c r="K121" s="1"/>
      <c r="L121" s="1"/>
      <c r="M121" s="1"/>
      <c r="N121" s="1"/>
      <c r="O121" s="1"/>
      <c r="P121" s="1"/>
    </row>
    <row r="122">
      <c r="A122" s="1"/>
      <c r="B122" s="46" t="s">
        <v>84</v>
      </c>
      <c r="C122" s="46" t="s">
        <v>85</v>
      </c>
      <c r="D122" s="81" t="s">
        <v>86</v>
      </c>
      <c r="E122" s="46" t="s">
        <v>57</v>
      </c>
      <c r="F122" s="46" t="s">
        <v>59</v>
      </c>
      <c r="G122" s="46" t="s">
        <v>87</v>
      </c>
      <c r="H122" s="81" t="s">
        <v>88</v>
      </c>
      <c r="I122" s="81" t="s">
        <v>89</v>
      </c>
      <c r="J122" s="99" t="s">
        <v>90</v>
      </c>
      <c r="K122" s="1"/>
      <c r="L122" s="1"/>
      <c r="M122" s="1"/>
      <c r="N122" s="1"/>
      <c r="O122" s="1"/>
      <c r="P122" s="1"/>
    </row>
    <row r="123">
      <c r="A123" s="1"/>
      <c r="B123" s="122" t="s">
        <v>140</v>
      </c>
      <c r="C123" s="123" t="s">
        <v>92</v>
      </c>
      <c r="D123" s="84" t="str">
        <f t="shared" ref="D123:D126" si="17">if(C123="","","(無期限)")</f>
        <v>(無期限)</v>
      </c>
      <c r="E123" s="134">
        <v>1.0</v>
      </c>
      <c r="F123" s="85">
        <v>1.0</v>
      </c>
      <c r="G123" s="83">
        <v>0.0</v>
      </c>
      <c r="H123" s="101">
        <v>3000.0</v>
      </c>
      <c r="I123" s="87">
        <f t="shared" ref="I123:I126" si="18">H123*F123</f>
        <v>3000</v>
      </c>
      <c r="J123" s="88">
        <f t="shared" ref="J123:J126" si="19">G123*H123</f>
        <v>0</v>
      </c>
      <c r="K123" s="1"/>
      <c r="L123" s="1"/>
      <c r="M123" s="1"/>
      <c r="N123" s="1"/>
      <c r="O123" s="1"/>
      <c r="P123" s="1"/>
    </row>
    <row r="124">
      <c r="A124" s="1"/>
      <c r="B124" s="122" t="s">
        <v>141</v>
      </c>
      <c r="C124" s="83" t="s">
        <v>92</v>
      </c>
      <c r="D124" s="84" t="str">
        <f t="shared" si="17"/>
        <v>(無期限)</v>
      </c>
      <c r="E124" s="84">
        <f>F124+G124</f>
        <v>50</v>
      </c>
      <c r="F124" s="85">
        <v>50.0</v>
      </c>
      <c r="G124" s="83">
        <v>0.0</v>
      </c>
      <c r="H124" s="136">
        <v>30.0</v>
      </c>
      <c r="I124" s="59">
        <f t="shared" si="18"/>
        <v>1500</v>
      </c>
      <c r="J124" s="88">
        <f t="shared" si="19"/>
        <v>0</v>
      </c>
      <c r="K124" s="1"/>
      <c r="L124" s="1"/>
      <c r="M124" s="1"/>
      <c r="N124" s="1"/>
      <c r="O124" s="1"/>
      <c r="P124" s="1"/>
    </row>
    <row r="125">
      <c r="A125" s="1"/>
      <c r="B125" s="122" t="s">
        <v>124</v>
      </c>
      <c r="C125" s="83" t="s">
        <v>92</v>
      </c>
      <c r="D125" s="84" t="str">
        <f t="shared" si="17"/>
        <v>(無期限)</v>
      </c>
      <c r="E125" s="84">
        <v>5.0</v>
      </c>
      <c r="F125" s="85">
        <v>5.0</v>
      </c>
      <c r="G125" s="83">
        <v>0.0</v>
      </c>
      <c r="H125" s="101">
        <v>300.0</v>
      </c>
      <c r="I125" s="87">
        <f t="shared" si="18"/>
        <v>1500</v>
      </c>
      <c r="J125" s="88">
        <f t="shared" si="19"/>
        <v>0</v>
      </c>
      <c r="K125" s="1"/>
      <c r="L125" s="1"/>
      <c r="M125" s="1"/>
      <c r="N125" s="1"/>
      <c r="O125" s="1"/>
      <c r="P125" s="1"/>
    </row>
    <row r="126">
      <c r="A126" s="1"/>
      <c r="B126" s="124" t="s">
        <v>125</v>
      </c>
      <c r="C126" s="85" t="s">
        <v>126</v>
      </c>
      <c r="D126" s="85" t="str">
        <f t="shared" si="17"/>
        <v>(無期限)</v>
      </c>
      <c r="E126" s="85">
        <f>F126+G126</f>
        <v>50000</v>
      </c>
      <c r="F126" s="85">
        <v>0.0</v>
      </c>
      <c r="G126" s="85">
        <v>50000.0</v>
      </c>
      <c r="H126" s="125">
        <v>0.01</v>
      </c>
      <c r="I126" s="126">
        <f t="shared" si="18"/>
        <v>0</v>
      </c>
      <c r="J126" s="125">
        <f t="shared" si="19"/>
        <v>500</v>
      </c>
      <c r="K126" s="1"/>
      <c r="L126" s="1"/>
      <c r="M126" s="1"/>
      <c r="N126" s="1"/>
      <c r="O126" s="1"/>
      <c r="P126" s="1"/>
    </row>
    <row r="127">
      <c r="A127" s="1"/>
      <c r="B127" s="1"/>
      <c r="C127" s="1"/>
      <c r="D127" s="1"/>
      <c r="E127" s="1"/>
      <c r="F127" s="1"/>
      <c r="G127" s="89" t="s">
        <v>93</v>
      </c>
      <c r="H127" s="28"/>
      <c r="I127" s="59">
        <f>SUM(I123:I126)</f>
        <v>6000</v>
      </c>
      <c r="J127" s="88">
        <f>sum(J123:J126)</f>
        <v>500</v>
      </c>
      <c r="K127" s="1"/>
      <c r="L127" s="1"/>
      <c r="M127" s="1"/>
      <c r="N127" s="1"/>
      <c r="O127" s="1"/>
      <c r="P127" s="1"/>
    </row>
    <row r="128">
      <c r="A128" s="1"/>
      <c r="B128" s="1"/>
      <c r="C128" s="1"/>
      <c r="D128" s="1"/>
      <c r="E128" s="1"/>
      <c r="F128" s="1"/>
      <c r="G128" s="89" t="s">
        <v>94</v>
      </c>
      <c r="H128" s="28"/>
      <c r="I128" s="127">
        <f>C117</f>
        <v>4980</v>
      </c>
      <c r="J128" s="128" t="s">
        <v>127</v>
      </c>
      <c r="K128" s="1"/>
      <c r="L128" s="1"/>
      <c r="M128" s="1"/>
      <c r="N128" s="1"/>
      <c r="O128" s="1"/>
      <c r="P128" s="1"/>
    </row>
    <row r="129">
      <c r="A129" s="1"/>
      <c r="B129" s="1"/>
      <c r="C129" s="1"/>
      <c r="D129" s="1"/>
      <c r="E129" s="1"/>
      <c r="F129" s="1"/>
      <c r="G129" s="89" t="s">
        <v>96</v>
      </c>
      <c r="H129" s="28"/>
      <c r="I129" s="92">
        <f>iferror(1-(I128/I127),"")</f>
        <v>0.17</v>
      </c>
      <c r="J129" s="129">
        <f>J127/I128</f>
        <v>0.1004016064</v>
      </c>
      <c r="K129" s="1"/>
      <c r="L129" s="1"/>
      <c r="M129" s="1"/>
      <c r="N129" s="1"/>
      <c r="O129" s="1"/>
      <c r="P129" s="1"/>
    </row>
    <row r="130">
      <c r="A130" s="1"/>
      <c r="B130" s="1"/>
      <c r="C130" s="1"/>
      <c r="D130" s="1"/>
      <c r="E130" s="1"/>
      <c r="F130" s="1"/>
      <c r="G130" s="1"/>
      <c r="H130" s="1"/>
      <c r="I130" s="48" t="s">
        <v>128</v>
      </c>
      <c r="J130" s="130"/>
      <c r="K130" s="1"/>
      <c r="L130" s="1"/>
      <c r="M130" s="1"/>
      <c r="N130" s="1"/>
      <c r="O130" s="1"/>
      <c r="P130" s="1"/>
    </row>
    <row r="131">
      <c r="A131" s="1"/>
      <c r="B131" s="1"/>
      <c r="C131" s="1"/>
      <c r="D131" s="1"/>
      <c r="E131" s="1"/>
      <c r="F131" s="1"/>
      <c r="G131" s="1"/>
      <c r="H131" s="1"/>
      <c r="I131" s="48"/>
      <c r="J131" s="1"/>
      <c r="K131" s="1"/>
      <c r="L131" s="1"/>
      <c r="M131" s="1"/>
      <c r="N131" s="1"/>
      <c r="O131" s="1"/>
      <c r="P131" s="1"/>
    </row>
    <row r="132">
      <c r="A132" s="1"/>
      <c r="B132" s="1"/>
      <c r="C132" s="1"/>
      <c r="D132" s="1"/>
      <c r="E132" s="1"/>
      <c r="F132" s="1"/>
      <c r="G132" s="1"/>
      <c r="H132" s="1"/>
      <c r="I132" s="130"/>
      <c r="J132" s="130"/>
      <c r="K132" s="1"/>
      <c r="L132" s="1"/>
      <c r="M132" s="1"/>
      <c r="N132" s="1"/>
      <c r="O132" s="1"/>
      <c r="P132" s="1"/>
    </row>
    <row r="133">
      <c r="A133" s="1"/>
      <c r="B133" s="45" t="s">
        <v>142</v>
      </c>
      <c r="C133" s="5"/>
      <c r="D133" s="5"/>
      <c r="E133" s="5"/>
      <c r="F133" s="5"/>
      <c r="G133" s="5"/>
      <c r="H133" s="5"/>
      <c r="I133" s="5"/>
      <c r="J133" s="103"/>
      <c r="K133" s="1"/>
      <c r="L133" s="1"/>
      <c r="M133" s="1"/>
      <c r="N133" s="1"/>
      <c r="O133" s="1"/>
      <c r="P133" s="1"/>
    </row>
    <row r="134">
      <c r="A134" s="1"/>
      <c r="B134" s="104" t="s">
        <v>106</v>
      </c>
      <c r="C134" s="1"/>
      <c r="D134" s="1"/>
      <c r="E134" s="1"/>
      <c r="F134" s="1"/>
      <c r="G134" s="1"/>
      <c r="H134" s="1"/>
      <c r="I134" s="1"/>
      <c r="J134" s="1"/>
      <c r="K134" s="1"/>
      <c r="L134" s="1"/>
      <c r="M134" s="1"/>
      <c r="N134" s="1"/>
      <c r="O134" s="1"/>
      <c r="P134" s="1"/>
    </row>
    <row r="135">
      <c r="A135" s="1"/>
      <c r="B135" s="46" t="s">
        <v>72</v>
      </c>
      <c r="C135" s="119"/>
      <c r="D135" s="1"/>
      <c r="E135" s="1"/>
      <c r="F135" s="1"/>
      <c r="G135" s="1"/>
      <c r="H135" s="1"/>
      <c r="I135" s="1"/>
      <c r="J135" s="1"/>
      <c r="K135" s="1"/>
      <c r="L135" s="1"/>
      <c r="M135" s="1"/>
      <c r="N135" s="1"/>
      <c r="O135" s="1"/>
      <c r="P135" s="1"/>
    </row>
    <row r="136">
      <c r="A136" s="1"/>
      <c r="B136" s="74" t="s">
        <v>74</v>
      </c>
      <c r="C136" s="119"/>
      <c r="D136" s="1"/>
      <c r="E136" s="1"/>
      <c r="F136" s="1"/>
      <c r="G136" s="1"/>
      <c r="H136" s="1"/>
      <c r="I136" s="1"/>
      <c r="J136" s="1"/>
      <c r="K136" s="1"/>
      <c r="L136" s="1"/>
      <c r="M136" s="1"/>
      <c r="N136" s="1"/>
      <c r="O136" s="1"/>
      <c r="P136" s="1"/>
    </row>
    <row r="137">
      <c r="A137" s="1"/>
      <c r="B137" s="46" t="s">
        <v>75</v>
      </c>
      <c r="C137" s="119"/>
      <c r="D137" s="1"/>
      <c r="E137" s="1"/>
      <c r="F137" s="1"/>
      <c r="G137" s="1"/>
      <c r="H137" s="1"/>
      <c r="I137" s="1"/>
      <c r="J137" s="1"/>
      <c r="K137" s="1"/>
      <c r="L137" s="1"/>
      <c r="M137" s="1"/>
      <c r="N137" s="1"/>
      <c r="O137" s="1"/>
      <c r="P137" s="1"/>
    </row>
    <row r="138">
      <c r="A138" s="1"/>
      <c r="B138" s="46" t="s">
        <v>77</v>
      </c>
      <c r="C138" s="119"/>
      <c r="D138" s="1"/>
      <c r="E138" s="1"/>
      <c r="F138" s="1"/>
      <c r="G138" s="1"/>
      <c r="H138" s="1"/>
      <c r="I138" s="1"/>
      <c r="J138" s="1"/>
      <c r="K138" s="1"/>
      <c r="L138" s="1"/>
      <c r="M138" s="1"/>
      <c r="N138" s="1"/>
      <c r="O138" s="1"/>
      <c r="P138" s="1"/>
    </row>
    <row r="139">
      <c r="A139" s="1"/>
      <c r="B139" s="46" t="s">
        <v>79</v>
      </c>
      <c r="C139" s="137">
        <f>I160</f>
        <v>20257.5</v>
      </c>
      <c r="D139" s="1"/>
      <c r="E139" s="1"/>
      <c r="F139" s="1"/>
      <c r="G139" s="1"/>
      <c r="H139" s="1"/>
      <c r="I139" s="1"/>
      <c r="J139" s="1"/>
      <c r="K139" s="1"/>
      <c r="L139" s="1"/>
      <c r="M139" s="1"/>
      <c r="N139" s="1"/>
      <c r="O139" s="1"/>
      <c r="P139" s="1"/>
    </row>
    <row r="140">
      <c r="A140" s="1"/>
      <c r="B140" s="46" t="s">
        <v>80</v>
      </c>
      <c r="C140" s="76">
        <f>C139/1.1</f>
        <v>18415.90909</v>
      </c>
      <c r="D140" s="1"/>
      <c r="E140" s="1"/>
      <c r="F140" s="1"/>
      <c r="G140" s="1"/>
      <c r="H140" s="1"/>
      <c r="I140" s="1"/>
      <c r="J140" s="1"/>
      <c r="K140" s="1"/>
      <c r="L140" s="1"/>
      <c r="M140" s="1"/>
      <c r="N140" s="1"/>
      <c r="O140" s="1"/>
      <c r="P140" s="1"/>
    </row>
    <row r="141">
      <c r="A141" s="1"/>
      <c r="B141" s="46" t="s">
        <v>81</v>
      </c>
      <c r="C141" s="77">
        <v>10000.0</v>
      </c>
      <c r="D141" s="46" t="s">
        <v>82</v>
      </c>
      <c r="E141" s="78">
        <f>1-(C141/C139)</f>
        <v>0.5063556707</v>
      </c>
      <c r="F141" s="1"/>
      <c r="G141" s="1"/>
      <c r="H141" s="1"/>
      <c r="I141" s="1"/>
      <c r="J141" s="1"/>
      <c r="K141" s="1"/>
      <c r="L141" s="1"/>
      <c r="M141" s="1"/>
      <c r="N141" s="1"/>
      <c r="O141" s="1"/>
      <c r="P141" s="1"/>
    </row>
    <row r="142">
      <c r="A142" s="1"/>
      <c r="B142" s="46" t="s">
        <v>83</v>
      </c>
      <c r="C142" s="76">
        <f>C141-(C141*0.1)</f>
        <v>9000</v>
      </c>
      <c r="D142" s="48"/>
      <c r="E142" s="1"/>
      <c r="F142" s="1"/>
      <c r="G142" s="1"/>
      <c r="H142" s="1"/>
      <c r="I142" s="1"/>
      <c r="J142" s="1"/>
      <c r="K142" s="1"/>
      <c r="L142" s="1"/>
      <c r="M142" s="1"/>
      <c r="N142" s="1"/>
      <c r="O142" s="1"/>
      <c r="P142" s="1"/>
    </row>
    <row r="143">
      <c r="A143" s="1"/>
      <c r="B143" s="46" t="s">
        <v>48</v>
      </c>
      <c r="C143" s="118">
        <v>1.0</v>
      </c>
      <c r="D143" s="48"/>
      <c r="E143" s="1"/>
      <c r="F143" s="1"/>
      <c r="G143" s="1"/>
      <c r="H143" s="1"/>
      <c r="I143" s="1"/>
      <c r="J143" s="1"/>
      <c r="K143" s="1"/>
      <c r="L143" s="1"/>
      <c r="M143" s="1"/>
      <c r="N143" s="1"/>
      <c r="O143" s="1"/>
      <c r="P143" s="1"/>
    </row>
    <row r="144">
      <c r="A144" s="1"/>
      <c r="B144" s="46" t="s">
        <v>50</v>
      </c>
      <c r="C144" s="51">
        <v>46111.625</v>
      </c>
      <c r="D144" s="50" t="s">
        <v>51</v>
      </c>
      <c r="E144" s="51">
        <v>46125.45832175926</v>
      </c>
      <c r="F144" s="1"/>
      <c r="G144" s="1"/>
      <c r="H144" s="1"/>
      <c r="I144" s="1"/>
      <c r="J144" s="1"/>
      <c r="K144" s="1"/>
      <c r="L144" s="1"/>
      <c r="M144" s="1"/>
      <c r="N144" s="1"/>
      <c r="O144" s="1"/>
      <c r="P144" s="1"/>
    </row>
    <row r="145">
      <c r="A145" s="1"/>
      <c r="B145" s="1"/>
      <c r="C145" s="132"/>
      <c r="D145" s="48"/>
      <c r="E145" s="1"/>
      <c r="F145" s="1"/>
      <c r="G145" s="1"/>
      <c r="H145" s="1"/>
      <c r="I145" s="1"/>
      <c r="J145" s="1"/>
      <c r="K145" s="1"/>
      <c r="L145" s="1"/>
      <c r="M145" s="1"/>
      <c r="N145" s="1"/>
      <c r="O145" s="1"/>
      <c r="P145" s="1"/>
    </row>
    <row r="146">
      <c r="A146" s="1"/>
      <c r="B146" s="46" t="s">
        <v>84</v>
      </c>
      <c r="C146" s="46" t="s">
        <v>85</v>
      </c>
      <c r="D146" s="81" t="s">
        <v>86</v>
      </c>
      <c r="E146" s="46" t="s">
        <v>57</v>
      </c>
      <c r="F146" s="46" t="s">
        <v>59</v>
      </c>
      <c r="G146" s="46" t="s">
        <v>87</v>
      </c>
      <c r="H146" s="81" t="s">
        <v>88</v>
      </c>
      <c r="I146" s="46" t="s">
        <v>89</v>
      </c>
      <c r="J146" s="46" t="s">
        <v>90</v>
      </c>
      <c r="K146" s="1"/>
      <c r="L146" s="1"/>
      <c r="M146" s="1"/>
      <c r="N146" s="1"/>
      <c r="O146" s="1"/>
      <c r="P146" s="1"/>
    </row>
    <row r="147">
      <c r="A147" s="1"/>
      <c r="B147" s="122" t="s">
        <v>140</v>
      </c>
      <c r="C147" s="123" t="s">
        <v>92</v>
      </c>
      <c r="D147" s="84" t="str">
        <f t="shared" ref="D147:D159" si="20">if(C147="","","(無期限)")</f>
        <v>(無期限)</v>
      </c>
      <c r="E147" s="134">
        <v>1.0</v>
      </c>
      <c r="F147" s="85">
        <v>1.0</v>
      </c>
      <c r="G147" s="83">
        <v>0.0</v>
      </c>
      <c r="H147" s="101">
        <v>3000.0</v>
      </c>
      <c r="I147" s="87">
        <f t="shared" ref="I147:I159" si="21">H147*F147</f>
        <v>3000</v>
      </c>
      <c r="J147" s="88">
        <f t="shared" ref="J147:J159" si="22">G147*H147</f>
        <v>0</v>
      </c>
      <c r="K147" s="1"/>
      <c r="L147" s="1"/>
      <c r="M147" s="1"/>
      <c r="N147" s="1"/>
      <c r="O147" s="1"/>
      <c r="P147" s="1"/>
    </row>
    <row r="148">
      <c r="A148" s="1"/>
      <c r="B148" s="122" t="s">
        <v>141</v>
      </c>
      <c r="C148" s="83" t="s">
        <v>92</v>
      </c>
      <c r="D148" s="84" t="str">
        <f t="shared" si="20"/>
        <v>(無期限)</v>
      </c>
      <c r="E148" s="84">
        <v>200.0</v>
      </c>
      <c r="F148" s="85">
        <v>200.0</v>
      </c>
      <c r="G148" s="83">
        <v>0.0</v>
      </c>
      <c r="H148" s="101">
        <v>30.0</v>
      </c>
      <c r="I148" s="87">
        <f t="shared" si="21"/>
        <v>6000</v>
      </c>
      <c r="J148" s="88">
        <f t="shared" si="22"/>
        <v>0</v>
      </c>
      <c r="K148" s="1"/>
      <c r="L148" s="1"/>
      <c r="M148" s="1"/>
      <c r="N148" s="1"/>
      <c r="O148" s="1"/>
      <c r="P148" s="1"/>
    </row>
    <row r="149">
      <c r="A149" s="1"/>
      <c r="B149" s="122" t="s">
        <v>124</v>
      </c>
      <c r="C149" s="83" t="s">
        <v>92</v>
      </c>
      <c r="D149" s="84" t="str">
        <f t="shared" si="20"/>
        <v>(無期限)</v>
      </c>
      <c r="E149" s="84">
        <f t="shared" ref="E149:E150" si="23">F149+G149</f>
        <v>10</v>
      </c>
      <c r="F149" s="85">
        <v>10.0</v>
      </c>
      <c r="G149" s="83">
        <v>0.0</v>
      </c>
      <c r="H149" s="101">
        <v>300.0</v>
      </c>
      <c r="I149" s="87">
        <f t="shared" si="21"/>
        <v>3000</v>
      </c>
      <c r="J149" s="88">
        <f t="shared" si="22"/>
        <v>0</v>
      </c>
      <c r="K149" s="1"/>
      <c r="L149" s="1"/>
      <c r="M149" s="1"/>
      <c r="N149" s="1"/>
      <c r="O149" s="1"/>
      <c r="P149" s="1"/>
    </row>
    <row r="150">
      <c r="A150" s="1"/>
      <c r="B150" s="122" t="s">
        <v>146</v>
      </c>
      <c r="C150" s="83" t="s">
        <v>92</v>
      </c>
      <c r="D150" s="84" t="str">
        <f t="shared" si="20"/>
        <v>(無期限)</v>
      </c>
      <c r="E150" s="84">
        <f t="shared" si="23"/>
        <v>10</v>
      </c>
      <c r="F150" s="85">
        <v>10.0</v>
      </c>
      <c r="G150" s="83">
        <v>0.0</v>
      </c>
      <c r="H150" s="101">
        <v>300.0</v>
      </c>
      <c r="I150" s="87">
        <f t="shared" si="21"/>
        <v>3000</v>
      </c>
      <c r="J150" s="88">
        <f t="shared" si="22"/>
        <v>0</v>
      </c>
      <c r="K150" s="1"/>
      <c r="L150" s="1"/>
      <c r="M150" s="1"/>
      <c r="N150" s="1"/>
      <c r="O150" s="1"/>
      <c r="P150" s="1"/>
    </row>
    <row r="151">
      <c r="A151" s="1"/>
      <c r="B151" s="122" t="s">
        <v>133</v>
      </c>
      <c r="C151" s="83" t="s">
        <v>92</v>
      </c>
      <c r="D151" s="84" t="str">
        <f t="shared" si="20"/>
        <v>(無期限)</v>
      </c>
      <c r="E151" s="84">
        <v>120.0</v>
      </c>
      <c r="F151" s="85">
        <v>120.0</v>
      </c>
      <c r="G151" s="83">
        <v>0.0</v>
      </c>
      <c r="H151" s="135">
        <v>10.0</v>
      </c>
      <c r="I151" s="87">
        <f t="shared" si="21"/>
        <v>1200</v>
      </c>
      <c r="J151" s="88">
        <f t="shared" si="22"/>
        <v>0</v>
      </c>
      <c r="K151" s="1"/>
      <c r="L151" s="1"/>
      <c r="M151" s="1"/>
      <c r="N151" s="1"/>
      <c r="O151" s="1"/>
      <c r="P151" s="1"/>
    </row>
    <row r="152">
      <c r="A152" s="1"/>
      <c r="B152" s="122" t="s">
        <v>134</v>
      </c>
      <c r="C152" s="83" t="s">
        <v>92</v>
      </c>
      <c r="D152" s="84" t="str">
        <f t="shared" si="20"/>
        <v>(無期限)</v>
      </c>
      <c r="E152" s="84">
        <v>75.0</v>
      </c>
      <c r="F152" s="85">
        <v>75.0</v>
      </c>
      <c r="G152" s="83">
        <v>0.0</v>
      </c>
      <c r="H152" s="135">
        <v>15.0</v>
      </c>
      <c r="I152" s="87">
        <f t="shared" si="21"/>
        <v>1125</v>
      </c>
      <c r="J152" s="88">
        <f t="shared" si="22"/>
        <v>0</v>
      </c>
      <c r="K152" s="1"/>
      <c r="L152" s="1"/>
      <c r="M152" s="1"/>
      <c r="N152" s="1"/>
      <c r="O152" s="1"/>
      <c r="P152" s="1"/>
    </row>
    <row r="153">
      <c r="A153" s="1"/>
      <c r="B153" s="122" t="s">
        <v>135</v>
      </c>
      <c r="C153" s="83" t="s">
        <v>92</v>
      </c>
      <c r="D153" s="84" t="str">
        <f t="shared" si="20"/>
        <v>(無期限)</v>
      </c>
      <c r="E153" s="84">
        <v>10.0</v>
      </c>
      <c r="F153" s="85">
        <v>10.0</v>
      </c>
      <c r="G153" s="83">
        <v>0.0</v>
      </c>
      <c r="H153" s="135">
        <v>30.0</v>
      </c>
      <c r="I153" s="87">
        <f t="shared" si="21"/>
        <v>300</v>
      </c>
      <c r="J153" s="88">
        <f t="shared" si="22"/>
        <v>0</v>
      </c>
      <c r="K153" s="1"/>
      <c r="L153" s="1"/>
      <c r="M153" s="1"/>
      <c r="N153" s="1"/>
      <c r="O153" s="1"/>
      <c r="P153" s="1"/>
    </row>
    <row r="154">
      <c r="A154" s="1"/>
      <c r="B154" s="122" t="s">
        <v>119</v>
      </c>
      <c r="C154" s="83" t="s">
        <v>92</v>
      </c>
      <c r="D154" s="84" t="str">
        <f t="shared" si="20"/>
        <v>(無期限)</v>
      </c>
      <c r="E154" s="84">
        <f t="shared" ref="E154:E158" si="24">F154+G154</f>
        <v>1950</v>
      </c>
      <c r="F154" s="85">
        <v>1950.0</v>
      </c>
      <c r="G154" s="83">
        <v>0.0</v>
      </c>
      <c r="H154" s="101">
        <v>0.27</v>
      </c>
      <c r="I154" s="87">
        <f t="shared" si="21"/>
        <v>526.5</v>
      </c>
      <c r="J154" s="88">
        <f t="shared" si="22"/>
        <v>0</v>
      </c>
      <c r="K154" s="1"/>
      <c r="L154" s="1"/>
      <c r="M154" s="1"/>
      <c r="N154" s="1"/>
      <c r="O154" s="1"/>
      <c r="P154" s="1"/>
    </row>
    <row r="155">
      <c r="A155" s="1"/>
      <c r="B155" s="122" t="s">
        <v>120</v>
      </c>
      <c r="C155" s="83" t="s">
        <v>92</v>
      </c>
      <c r="D155" s="84" t="str">
        <f t="shared" si="20"/>
        <v>(無期限)</v>
      </c>
      <c r="E155" s="84">
        <f t="shared" si="24"/>
        <v>1950</v>
      </c>
      <c r="F155" s="85">
        <v>1950.0</v>
      </c>
      <c r="G155" s="83">
        <v>0.0</v>
      </c>
      <c r="H155" s="101">
        <v>0.27</v>
      </c>
      <c r="I155" s="87">
        <f t="shared" si="21"/>
        <v>526.5</v>
      </c>
      <c r="J155" s="88">
        <f t="shared" si="22"/>
        <v>0</v>
      </c>
      <c r="K155" s="1"/>
      <c r="L155" s="1"/>
      <c r="M155" s="1"/>
      <c r="N155" s="1"/>
      <c r="O155" s="1"/>
      <c r="P155" s="1"/>
    </row>
    <row r="156">
      <c r="A156" s="1"/>
      <c r="B156" s="122" t="s">
        <v>121</v>
      </c>
      <c r="C156" s="83" t="s">
        <v>92</v>
      </c>
      <c r="D156" s="84" t="str">
        <f t="shared" si="20"/>
        <v>(無期限)</v>
      </c>
      <c r="E156" s="84">
        <f t="shared" si="24"/>
        <v>1950</v>
      </c>
      <c r="F156" s="85">
        <v>1950.0</v>
      </c>
      <c r="G156" s="83">
        <v>0.0</v>
      </c>
      <c r="H156" s="101">
        <v>0.27</v>
      </c>
      <c r="I156" s="87">
        <f t="shared" si="21"/>
        <v>526.5</v>
      </c>
      <c r="J156" s="88">
        <f t="shared" si="22"/>
        <v>0</v>
      </c>
      <c r="K156" s="1"/>
      <c r="L156" s="1"/>
      <c r="M156" s="1"/>
      <c r="N156" s="1"/>
      <c r="O156" s="1"/>
      <c r="P156" s="1"/>
    </row>
    <row r="157">
      <c r="A157" s="1"/>
      <c r="B157" s="122" t="s">
        <v>122</v>
      </c>
      <c r="C157" s="83" t="s">
        <v>92</v>
      </c>
      <c r="D157" s="84" t="str">
        <f t="shared" si="20"/>
        <v>(無期限)</v>
      </c>
      <c r="E157" s="84">
        <f t="shared" si="24"/>
        <v>1950</v>
      </c>
      <c r="F157" s="85">
        <v>1950.0</v>
      </c>
      <c r="G157" s="83">
        <v>0.0</v>
      </c>
      <c r="H157" s="101">
        <v>0.27</v>
      </c>
      <c r="I157" s="87">
        <f t="shared" si="21"/>
        <v>526.5</v>
      </c>
      <c r="J157" s="88">
        <f t="shared" si="22"/>
        <v>0</v>
      </c>
      <c r="K157" s="1"/>
      <c r="L157" s="1"/>
      <c r="M157" s="1"/>
      <c r="N157" s="1"/>
      <c r="O157" s="1"/>
      <c r="P157" s="1"/>
    </row>
    <row r="158">
      <c r="A158" s="1"/>
      <c r="B158" s="122" t="s">
        <v>123</v>
      </c>
      <c r="C158" s="83" t="s">
        <v>92</v>
      </c>
      <c r="D158" s="84" t="str">
        <f t="shared" si="20"/>
        <v>(無期限)</v>
      </c>
      <c r="E158" s="84">
        <f t="shared" si="24"/>
        <v>1950</v>
      </c>
      <c r="F158" s="85">
        <v>1950.0</v>
      </c>
      <c r="G158" s="83">
        <v>0.0</v>
      </c>
      <c r="H158" s="101">
        <v>0.27</v>
      </c>
      <c r="I158" s="87">
        <f t="shared" si="21"/>
        <v>526.5</v>
      </c>
      <c r="J158" s="88">
        <f t="shared" si="22"/>
        <v>0</v>
      </c>
      <c r="K158" s="1"/>
      <c r="L158" s="1"/>
      <c r="M158" s="1"/>
      <c r="N158" s="1"/>
      <c r="O158" s="1"/>
      <c r="P158" s="1"/>
    </row>
    <row r="159">
      <c r="A159" s="1"/>
      <c r="B159" s="124" t="s">
        <v>125</v>
      </c>
      <c r="C159" s="85" t="s">
        <v>126</v>
      </c>
      <c r="D159" s="85" t="str">
        <f t="shared" si="20"/>
        <v>(無期限)</v>
      </c>
      <c r="E159" s="85">
        <v>150000.0</v>
      </c>
      <c r="F159" s="85">
        <v>0.0</v>
      </c>
      <c r="G159" s="85">
        <v>150000.0</v>
      </c>
      <c r="H159" s="125">
        <v>0.01</v>
      </c>
      <c r="I159" s="126">
        <f t="shared" si="21"/>
        <v>0</v>
      </c>
      <c r="J159" s="125">
        <f t="shared" si="22"/>
        <v>1500</v>
      </c>
      <c r="K159" s="1"/>
      <c r="L159" s="1"/>
      <c r="M159" s="1"/>
      <c r="N159" s="1"/>
      <c r="O159" s="1"/>
      <c r="P159" s="1"/>
    </row>
    <row r="160">
      <c r="A160" s="1"/>
      <c r="B160" s="1"/>
      <c r="C160" s="1"/>
      <c r="D160" s="1"/>
      <c r="E160" s="1"/>
      <c r="F160" s="1"/>
      <c r="G160" s="89" t="s">
        <v>93</v>
      </c>
      <c r="H160" s="28"/>
      <c r="I160" s="59">
        <f>SUM(I147:I159)</f>
        <v>20257.5</v>
      </c>
      <c r="J160" s="88">
        <f>sum(J147:J159)</f>
        <v>1500</v>
      </c>
      <c r="K160" s="1"/>
      <c r="L160" s="1"/>
      <c r="M160" s="1"/>
      <c r="N160" s="1"/>
      <c r="O160" s="1"/>
      <c r="P160" s="1"/>
    </row>
    <row r="161">
      <c r="A161" s="1"/>
      <c r="B161" s="1"/>
      <c r="C161" s="1"/>
      <c r="D161" s="1"/>
      <c r="E161" s="1"/>
      <c r="F161" s="1"/>
      <c r="G161" s="89" t="s">
        <v>94</v>
      </c>
      <c r="H161" s="28"/>
      <c r="I161" s="127">
        <f>C141</f>
        <v>10000</v>
      </c>
      <c r="J161" s="128" t="s">
        <v>127</v>
      </c>
      <c r="K161" s="1"/>
      <c r="L161" s="1"/>
      <c r="M161" s="1"/>
      <c r="N161" s="1"/>
      <c r="O161" s="1"/>
      <c r="P161" s="1"/>
    </row>
    <row r="162">
      <c r="A162" s="1"/>
      <c r="B162" s="1"/>
      <c r="C162" s="1"/>
      <c r="D162" s="1"/>
      <c r="E162" s="1"/>
      <c r="F162" s="1"/>
      <c r="G162" s="89" t="s">
        <v>96</v>
      </c>
      <c r="H162" s="28"/>
      <c r="I162" s="92">
        <f>iferror(1-(I161/I160),"")</f>
        <v>0.5063556707</v>
      </c>
      <c r="J162" s="129">
        <f>J160/I161</f>
        <v>0.15</v>
      </c>
      <c r="K162" s="1"/>
      <c r="L162" s="1"/>
      <c r="M162" s="1"/>
      <c r="N162" s="1"/>
      <c r="O162" s="1"/>
      <c r="P162" s="1"/>
    </row>
    <row r="163">
      <c r="A163" s="1"/>
      <c r="B163" s="1"/>
      <c r="C163" s="1"/>
      <c r="D163" s="1"/>
      <c r="E163" s="1"/>
      <c r="F163" s="1"/>
      <c r="G163" s="1"/>
      <c r="H163" s="1"/>
      <c r="I163" s="48" t="s">
        <v>128</v>
      </c>
      <c r="J163" s="94"/>
      <c r="K163" s="1"/>
      <c r="L163" s="1"/>
      <c r="M163" s="1"/>
      <c r="N163" s="1"/>
      <c r="O163" s="1"/>
      <c r="P163" s="1"/>
    </row>
    <row r="164">
      <c r="B164" s="1"/>
      <c r="C164" s="1"/>
      <c r="D164" s="1"/>
      <c r="E164" s="1"/>
      <c r="F164" s="1"/>
      <c r="G164" s="1"/>
      <c r="H164" s="1"/>
      <c r="I164" s="1"/>
      <c r="J164" s="1"/>
    </row>
    <row r="165">
      <c r="B165" s="1"/>
      <c r="C165" s="1"/>
      <c r="D165" s="1"/>
      <c r="E165" s="1"/>
      <c r="F165" s="1"/>
      <c r="G165" s="1"/>
      <c r="H165" s="1"/>
      <c r="I165" s="1"/>
      <c r="J165" s="1"/>
    </row>
    <row r="166">
      <c r="B166" s="146" t="s">
        <v>336</v>
      </c>
      <c r="C166" s="1"/>
      <c r="D166" s="1"/>
      <c r="E166" s="1"/>
      <c r="F166" s="1"/>
      <c r="G166" s="1"/>
      <c r="H166" s="1"/>
      <c r="I166" s="1"/>
      <c r="J166" s="1"/>
    </row>
    <row r="167">
      <c r="B167" s="15" t="s">
        <v>337</v>
      </c>
      <c r="C167" s="5"/>
      <c r="D167" s="5"/>
      <c r="E167" s="5"/>
      <c r="F167" s="5"/>
      <c r="G167" s="5"/>
      <c r="H167" s="5"/>
      <c r="I167" s="5"/>
      <c r="J167" s="5"/>
    </row>
    <row r="168">
      <c r="B168" s="104" t="s">
        <v>106</v>
      </c>
      <c r="C168" s="1"/>
      <c r="D168" s="1"/>
      <c r="E168" s="1"/>
      <c r="F168" s="1"/>
      <c r="G168" s="1"/>
      <c r="H168" s="1"/>
      <c r="I168" s="1"/>
      <c r="J168" s="1"/>
    </row>
    <row r="169">
      <c r="B169" s="46" t="s">
        <v>72</v>
      </c>
      <c r="C169" s="138"/>
      <c r="D169" s="1"/>
      <c r="E169" s="1"/>
      <c r="F169" s="1"/>
      <c r="G169" s="1"/>
      <c r="H169" s="1"/>
      <c r="I169" s="1"/>
      <c r="J169" s="1"/>
    </row>
    <row r="170">
      <c r="B170" s="74" t="s">
        <v>74</v>
      </c>
      <c r="C170" s="110"/>
      <c r="D170" s="1"/>
      <c r="E170" s="1"/>
      <c r="F170" s="1"/>
      <c r="G170" s="1"/>
      <c r="H170" s="1"/>
      <c r="I170" s="1"/>
      <c r="J170" s="1"/>
    </row>
    <row r="171">
      <c r="B171" s="46" t="s">
        <v>75</v>
      </c>
      <c r="C171" s="139"/>
      <c r="D171" s="1"/>
      <c r="E171" s="1"/>
      <c r="F171" s="1"/>
      <c r="G171" s="1"/>
      <c r="H171" s="1"/>
      <c r="I171" s="1"/>
      <c r="J171" s="1"/>
    </row>
    <row r="172">
      <c r="B172" s="46" t="s">
        <v>77</v>
      </c>
      <c r="C172" s="139"/>
      <c r="D172" s="1"/>
      <c r="E172" s="1"/>
      <c r="F172" s="1"/>
      <c r="G172" s="1"/>
      <c r="H172" s="1"/>
      <c r="I172" s="1"/>
      <c r="J172" s="1"/>
    </row>
    <row r="173">
      <c r="B173" s="46" t="s">
        <v>151</v>
      </c>
      <c r="C173" s="76" t="s">
        <v>152</v>
      </c>
      <c r="D173" s="1"/>
      <c r="E173" s="1"/>
      <c r="F173" s="1"/>
      <c r="G173" s="1"/>
      <c r="H173" s="1"/>
      <c r="I173" s="1"/>
      <c r="J173" s="1"/>
    </row>
    <row r="174">
      <c r="B174" s="46" t="s">
        <v>153</v>
      </c>
      <c r="C174" s="76">
        <f>J187</f>
        <v>10800</v>
      </c>
      <c r="D174" s="1"/>
      <c r="E174" s="1"/>
      <c r="F174" s="1"/>
      <c r="G174" s="1"/>
      <c r="H174" s="1"/>
      <c r="I174" s="1"/>
      <c r="J174" s="1"/>
    </row>
    <row r="175">
      <c r="B175" s="46" t="s">
        <v>80</v>
      </c>
      <c r="C175" s="76">
        <f>C174-(C174*0.1)</f>
        <v>9720</v>
      </c>
      <c r="D175" s="1"/>
      <c r="E175" s="1"/>
      <c r="F175" s="1"/>
      <c r="G175" s="1"/>
      <c r="H175" s="1"/>
      <c r="I175" s="1"/>
      <c r="J175" s="1"/>
    </row>
    <row r="176">
      <c r="B176" s="46" t="s">
        <v>154</v>
      </c>
      <c r="C176" s="106">
        <v>1480.0</v>
      </c>
      <c r="D176" s="46" t="s">
        <v>82</v>
      </c>
      <c r="E176" s="78">
        <f>1-(C176/C174)</f>
        <v>0.862962963</v>
      </c>
      <c r="F176" s="1"/>
      <c r="G176" s="1"/>
      <c r="H176" s="1"/>
      <c r="I176" s="1"/>
      <c r="J176" s="1"/>
    </row>
    <row r="177">
      <c r="B177" s="46" t="s">
        <v>83</v>
      </c>
      <c r="C177" s="76">
        <f>C176-(C176*0.1)</f>
        <v>1332</v>
      </c>
      <c r="D177" s="48"/>
      <c r="E177" s="1"/>
      <c r="F177" s="1"/>
      <c r="G177" s="1"/>
      <c r="H177" s="1"/>
      <c r="I177" s="1"/>
      <c r="J177" s="1"/>
    </row>
    <row r="178">
      <c r="B178" s="46" t="s">
        <v>48</v>
      </c>
      <c r="C178" s="85">
        <v>1.0</v>
      </c>
      <c r="D178" s="48"/>
      <c r="E178" s="1"/>
      <c r="F178" s="1"/>
      <c r="G178" s="1"/>
      <c r="H178" s="1"/>
      <c r="I178" s="1"/>
      <c r="J178" s="1"/>
    </row>
    <row r="179">
      <c r="B179" s="46" t="s">
        <v>50</v>
      </c>
      <c r="C179" s="51">
        <v>46111.625</v>
      </c>
      <c r="D179" s="50" t="s">
        <v>51</v>
      </c>
      <c r="E179" s="140"/>
      <c r="F179" s="1"/>
      <c r="G179" s="1"/>
      <c r="H179" s="1"/>
      <c r="I179" s="1"/>
      <c r="J179" s="1"/>
    </row>
    <row r="180">
      <c r="B180" s="46" t="s">
        <v>155</v>
      </c>
      <c r="C180" s="97" t="s">
        <v>156</v>
      </c>
      <c r="D180" s="1"/>
      <c r="E180" s="1"/>
      <c r="F180" s="1"/>
      <c r="G180" s="1"/>
      <c r="H180" s="1"/>
      <c r="I180" s="1"/>
      <c r="J180" s="1"/>
    </row>
    <row r="181">
      <c r="B181" s="46" t="s">
        <v>160</v>
      </c>
      <c r="C181" s="47">
        <v>365.0</v>
      </c>
      <c r="D181" s="141" t="s">
        <v>161</v>
      </c>
      <c r="E181" s="1"/>
      <c r="F181" s="1"/>
      <c r="G181" s="1"/>
      <c r="H181" s="1"/>
      <c r="I181" s="1"/>
      <c r="J181" s="1"/>
    </row>
    <row r="182">
      <c r="B182" s="46" t="s">
        <v>162</v>
      </c>
      <c r="C182" s="47" t="s">
        <v>338</v>
      </c>
      <c r="D182" s="141" t="s">
        <v>164</v>
      </c>
      <c r="E182" s="1"/>
      <c r="F182" s="1"/>
      <c r="G182" s="1"/>
      <c r="H182" s="1"/>
      <c r="I182" s="1"/>
      <c r="J182" s="1"/>
    </row>
    <row r="183">
      <c r="B183" s="46" t="s">
        <v>167</v>
      </c>
      <c r="C183" s="84"/>
      <c r="D183" s="1"/>
      <c r="E183" s="1"/>
      <c r="F183" s="1"/>
      <c r="G183" s="1"/>
      <c r="H183" s="1"/>
      <c r="I183" s="1"/>
      <c r="J183" s="1"/>
    </row>
    <row r="184">
      <c r="B184" s="1"/>
      <c r="C184" s="1"/>
      <c r="D184" s="1"/>
      <c r="E184" s="1"/>
      <c r="F184" s="1"/>
      <c r="G184" s="1"/>
      <c r="H184" s="7" t="s">
        <v>339</v>
      </c>
      <c r="I184" s="1"/>
      <c r="J184" s="1"/>
    </row>
    <row r="185">
      <c r="B185" s="46" t="s">
        <v>84</v>
      </c>
      <c r="C185" s="46" t="s">
        <v>85</v>
      </c>
      <c r="D185" s="46" t="s">
        <v>86</v>
      </c>
      <c r="E185" s="46" t="s">
        <v>168</v>
      </c>
      <c r="F185" s="46" t="s">
        <v>169</v>
      </c>
      <c r="G185" s="46" t="s">
        <v>87</v>
      </c>
      <c r="H185" s="81" t="s">
        <v>88</v>
      </c>
      <c r="I185" s="46" t="s">
        <v>89</v>
      </c>
      <c r="J185" s="46" t="s">
        <v>90</v>
      </c>
    </row>
    <row r="186">
      <c r="B186" s="294" t="s">
        <v>337</v>
      </c>
      <c r="C186" s="295" t="s">
        <v>92</v>
      </c>
      <c r="D186" s="84" t="str">
        <f>if(C186="","","(無期限)")</f>
        <v>(無期限)</v>
      </c>
      <c r="E186" s="134">
        <v>0.0</v>
      </c>
      <c r="F186" s="296">
        <v>0.0</v>
      </c>
      <c r="G186" s="144">
        <v>1.0</v>
      </c>
      <c r="H186" s="101">
        <f>30*30*12</f>
        <v>10800</v>
      </c>
      <c r="I186" s="87">
        <f>H186*F186</f>
        <v>0</v>
      </c>
      <c r="J186" s="88">
        <f>G186*H186</f>
        <v>10800</v>
      </c>
    </row>
    <row r="187">
      <c r="B187" s="1"/>
      <c r="C187" s="1"/>
      <c r="D187" s="1"/>
      <c r="E187" s="1"/>
      <c r="F187" s="1"/>
      <c r="G187" s="89" t="s">
        <v>93</v>
      </c>
      <c r="H187" s="28"/>
      <c r="I187" s="59">
        <f t="shared" ref="I187:J187" si="25">SUM(I185:I186)</f>
        <v>0</v>
      </c>
      <c r="J187" s="88">
        <f t="shared" si="25"/>
        <v>10800</v>
      </c>
    </row>
    <row r="188">
      <c r="B188" s="1"/>
      <c r="C188" s="1"/>
      <c r="D188" s="1"/>
      <c r="E188" s="1"/>
      <c r="F188" s="1"/>
      <c r="G188" s="89" t="s">
        <v>94</v>
      </c>
      <c r="H188" s="28"/>
      <c r="I188" s="127">
        <f>C176</f>
        <v>1480</v>
      </c>
      <c r="J188" s="145" t="s">
        <v>127</v>
      </c>
    </row>
    <row r="189">
      <c r="B189" s="1"/>
      <c r="C189" s="1"/>
      <c r="D189" s="1"/>
      <c r="E189" s="1"/>
      <c r="F189" s="1"/>
      <c r="G189" s="89" t="s">
        <v>96</v>
      </c>
      <c r="H189" s="28"/>
      <c r="I189" s="92">
        <f>iferror(1-(I188/J187),"")</f>
        <v>0.862962963</v>
      </c>
      <c r="J189" s="93">
        <f>J187/I188</f>
        <v>7.297297297</v>
      </c>
    </row>
    <row r="190">
      <c r="B190" s="1"/>
      <c r="C190" s="1"/>
      <c r="D190" s="1"/>
      <c r="E190" s="1"/>
      <c r="F190" s="1"/>
      <c r="G190" s="1"/>
      <c r="H190" s="1"/>
      <c r="I190" s="1"/>
      <c r="J190" s="1"/>
    </row>
    <row r="191">
      <c r="B191" s="7" t="s">
        <v>340</v>
      </c>
      <c r="C191" s="1"/>
      <c r="D191" s="1"/>
      <c r="E191" s="1"/>
      <c r="F191" s="1"/>
      <c r="G191" s="1"/>
      <c r="H191" s="1"/>
      <c r="I191" s="1"/>
      <c r="J191" s="1"/>
    </row>
    <row r="193">
      <c r="B193" s="10" t="s">
        <v>341</v>
      </c>
    </row>
    <row r="195">
      <c r="B195" s="146" t="s">
        <v>342</v>
      </c>
    </row>
    <row r="196">
      <c r="A196" s="1"/>
      <c r="B196" s="15" t="s">
        <v>343</v>
      </c>
      <c r="C196" s="5"/>
      <c r="D196" s="5"/>
      <c r="E196" s="5"/>
      <c r="F196" s="5"/>
      <c r="G196" s="5"/>
      <c r="H196" s="5"/>
      <c r="I196" s="5"/>
      <c r="J196" s="5"/>
      <c r="K196" s="5"/>
      <c r="L196" s="5"/>
      <c r="M196" s="5"/>
      <c r="N196" s="5"/>
      <c r="O196" s="1"/>
      <c r="P196" s="1"/>
    </row>
    <row r="197">
      <c r="A197" s="1"/>
      <c r="B197" s="104" t="s">
        <v>106</v>
      </c>
      <c r="C197" s="1"/>
      <c r="D197" s="1"/>
      <c r="E197" s="1"/>
      <c r="F197" s="1"/>
      <c r="G197" s="1"/>
      <c r="H197" s="1"/>
      <c r="I197" s="1"/>
      <c r="J197" s="1"/>
      <c r="K197" s="1"/>
      <c r="L197" s="1"/>
      <c r="M197" s="1"/>
      <c r="N197" s="1"/>
      <c r="O197" s="1"/>
      <c r="P197" s="1"/>
    </row>
    <row r="198">
      <c r="A198" s="1"/>
      <c r="B198" s="46" t="s">
        <v>72</v>
      </c>
      <c r="C198" s="297"/>
      <c r="D198" s="1"/>
      <c r="E198" s="1"/>
      <c r="F198" s="1"/>
      <c r="G198" s="1"/>
      <c r="H198" s="119"/>
      <c r="I198" s="122" t="s">
        <v>344</v>
      </c>
      <c r="J198" s="122" t="s">
        <v>345</v>
      </c>
      <c r="K198" s="122" t="s">
        <v>346</v>
      </c>
      <c r="L198" s="1"/>
      <c r="M198" s="1"/>
      <c r="N198" s="1"/>
      <c r="O198" s="1"/>
      <c r="P198" s="1"/>
    </row>
    <row r="199">
      <c r="A199" s="1"/>
      <c r="B199" s="46" t="s">
        <v>151</v>
      </c>
      <c r="C199" s="76" t="s">
        <v>152</v>
      </c>
      <c r="D199" s="1"/>
      <c r="E199" s="1"/>
      <c r="F199" s="1"/>
      <c r="G199" s="1"/>
      <c r="H199" s="119" t="s">
        <v>347</v>
      </c>
      <c r="I199" s="84">
        <v>60.0</v>
      </c>
      <c r="J199" s="122" t="s">
        <v>348</v>
      </c>
      <c r="K199" s="122" t="s">
        <v>349</v>
      </c>
      <c r="L199" s="1"/>
      <c r="M199" s="1"/>
      <c r="N199" s="1"/>
      <c r="O199" s="1"/>
      <c r="P199" s="1"/>
    </row>
    <row r="200">
      <c r="A200" s="1"/>
      <c r="B200" s="46" t="s">
        <v>153</v>
      </c>
      <c r="C200" s="76">
        <f>J218</f>
        <v>3000</v>
      </c>
      <c r="D200" s="1"/>
      <c r="E200" s="1"/>
      <c r="F200" s="1"/>
      <c r="G200" s="1"/>
      <c r="H200" s="298" t="s">
        <v>350</v>
      </c>
      <c r="I200" s="299">
        <v>60.0</v>
      </c>
      <c r="J200" s="300" t="s">
        <v>348</v>
      </c>
      <c r="K200" s="299">
        <v>60.0</v>
      </c>
      <c r="L200" s="1"/>
      <c r="M200" s="1"/>
      <c r="N200" s="1"/>
      <c r="O200" s="1"/>
      <c r="P200" s="1"/>
    </row>
    <row r="201">
      <c r="A201" s="1"/>
      <c r="B201" s="46" t="s">
        <v>80</v>
      </c>
      <c r="C201" s="76">
        <f>C200-(C200*0.1)</f>
        <v>2700</v>
      </c>
      <c r="D201" s="1"/>
      <c r="E201" s="1"/>
      <c r="F201" s="1"/>
      <c r="G201" s="1"/>
      <c r="H201" s="209"/>
      <c r="I201" s="209"/>
      <c r="J201" s="209"/>
      <c r="K201" s="209"/>
      <c r="L201" s="1"/>
      <c r="M201" s="1"/>
      <c r="N201" s="1"/>
      <c r="O201" s="1"/>
      <c r="P201" s="1"/>
    </row>
    <row r="202">
      <c r="A202" s="1"/>
      <c r="B202" s="46" t="s">
        <v>154</v>
      </c>
      <c r="C202" s="77">
        <v>780.0</v>
      </c>
      <c r="D202" s="46" t="s">
        <v>82</v>
      </c>
      <c r="E202" s="78">
        <f>1-(C202/C200)</f>
        <v>0.74</v>
      </c>
      <c r="F202" s="1"/>
      <c r="G202" s="1"/>
      <c r="H202" s="1"/>
      <c r="I202" s="1"/>
      <c r="J202" s="1"/>
      <c r="K202" s="1"/>
      <c r="L202" s="1"/>
      <c r="M202" s="1"/>
      <c r="N202" s="1"/>
      <c r="O202" s="1"/>
      <c r="P202" s="1"/>
    </row>
    <row r="203">
      <c r="A203" s="1"/>
      <c r="B203" s="46" t="s">
        <v>83</v>
      </c>
      <c r="C203" s="76">
        <f>C202-(C202*0.1)</f>
        <v>702</v>
      </c>
      <c r="D203" s="48"/>
      <c r="E203" s="1"/>
      <c r="F203" s="1"/>
      <c r="G203" s="1"/>
      <c r="H203" s="1"/>
      <c r="I203" s="1"/>
      <c r="J203" s="1"/>
      <c r="K203" s="1"/>
      <c r="L203" s="1"/>
      <c r="M203" s="1"/>
      <c r="N203" s="1"/>
      <c r="O203" s="1"/>
      <c r="P203" s="1"/>
    </row>
    <row r="204">
      <c r="A204" s="1"/>
      <c r="B204" s="46" t="s">
        <v>48</v>
      </c>
      <c r="C204" s="85">
        <v>1.0</v>
      </c>
      <c r="D204" s="48"/>
      <c r="E204" s="1"/>
      <c r="F204" s="1"/>
      <c r="G204" s="1"/>
      <c r="H204" s="1"/>
      <c r="I204" s="1"/>
      <c r="J204" s="1"/>
      <c r="K204" s="1"/>
      <c r="L204" s="1"/>
      <c r="M204" s="1"/>
      <c r="N204" s="1"/>
      <c r="O204" s="1"/>
      <c r="P204" s="1"/>
    </row>
    <row r="205">
      <c r="A205" s="1"/>
      <c r="B205" s="46" t="s">
        <v>50</v>
      </c>
      <c r="C205" s="49"/>
      <c r="D205" s="50" t="s">
        <v>51</v>
      </c>
      <c r="E205" s="97" t="s">
        <v>52</v>
      </c>
      <c r="F205" s="1"/>
      <c r="G205" s="1"/>
      <c r="H205" s="1"/>
      <c r="I205" s="1"/>
      <c r="J205" s="1"/>
      <c r="K205" s="1"/>
      <c r="L205" s="1"/>
      <c r="M205" s="1"/>
      <c r="N205" s="1"/>
      <c r="O205" s="1"/>
      <c r="P205" s="1"/>
    </row>
    <row r="206">
      <c r="A206" s="1"/>
      <c r="B206" s="46" t="s">
        <v>155</v>
      </c>
      <c r="C206" s="97" t="s">
        <v>156</v>
      </c>
      <c r="D206" s="1"/>
      <c r="E206" s="1"/>
      <c r="F206" s="1"/>
      <c r="G206" s="1"/>
      <c r="H206" s="1"/>
      <c r="I206" s="1"/>
      <c r="J206" s="1"/>
      <c r="K206" s="1"/>
      <c r="L206" s="1"/>
      <c r="M206" s="1"/>
      <c r="N206" s="1"/>
      <c r="O206" s="1"/>
      <c r="P206" s="1"/>
    </row>
    <row r="207">
      <c r="A207" s="1"/>
      <c r="B207" s="46" t="s">
        <v>157</v>
      </c>
      <c r="C207" s="97">
        <f>G215/C209</f>
        <v>60</v>
      </c>
      <c r="D207" s="141" t="s">
        <v>158</v>
      </c>
      <c r="E207" s="1"/>
      <c r="F207" s="1"/>
      <c r="G207" s="1"/>
      <c r="H207" s="1"/>
      <c r="I207" s="1"/>
      <c r="J207" s="1"/>
      <c r="K207" s="1"/>
      <c r="L207" s="1"/>
      <c r="M207" s="1"/>
      <c r="N207" s="1"/>
      <c r="O207" s="1"/>
      <c r="P207" s="1"/>
    </row>
    <row r="208">
      <c r="A208" s="1"/>
      <c r="B208" s="74" t="s">
        <v>159</v>
      </c>
      <c r="C208" s="97">
        <f>G216/C209</f>
        <v>2000</v>
      </c>
      <c r="D208" s="141"/>
      <c r="E208" s="1"/>
      <c r="F208" s="1"/>
      <c r="G208" s="1"/>
      <c r="H208" s="1"/>
      <c r="I208" s="1"/>
      <c r="J208" s="1"/>
      <c r="K208" s="1"/>
      <c r="L208" s="1"/>
      <c r="M208" s="1"/>
      <c r="N208" s="1"/>
      <c r="O208" s="1"/>
      <c r="P208" s="1"/>
    </row>
    <row r="209">
      <c r="A209" s="1"/>
      <c r="B209" s="46" t="s">
        <v>160</v>
      </c>
      <c r="C209" s="97">
        <v>25.0</v>
      </c>
      <c r="D209" s="141" t="s">
        <v>161</v>
      </c>
      <c r="E209" s="1"/>
      <c r="F209" s="1"/>
      <c r="G209" s="1"/>
      <c r="H209" s="1"/>
      <c r="I209" s="1"/>
      <c r="J209" s="1"/>
      <c r="K209" s="1"/>
      <c r="L209" s="1"/>
      <c r="M209" s="1"/>
      <c r="N209" s="1"/>
      <c r="O209" s="1"/>
      <c r="P209" s="1"/>
    </row>
    <row r="210">
      <c r="A210" s="1"/>
      <c r="B210" s="46" t="s">
        <v>162</v>
      </c>
      <c r="C210" s="97" t="s">
        <v>351</v>
      </c>
      <c r="D210" s="141" t="s">
        <v>164</v>
      </c>
      <c r="E210" s="1"/>
      <c r="F210" s="1"/>
      <c r="G210" s="1"/>
      <c r="H210" s="1"/>
      <c r="I210" s="1"/>
      <c r="J210" s="1"/>
      <c r="K210" s="1"/>
      <c r="L210" s="1"/>
      <c r="M210" s="1"/>
      <c r="N210" s="1"/>
      <c r="O210" s="1"/>
      <c r="P210" s="1"/>
    </row>
    <row r="211">
      <c r="A211" s="1"/>
      <c r="B211" s="46" t="s">
        <v>352</v>
      </c>
      <c r="C211" s="92">
        <f>$C$207/$E$215</f>
        <v>0.04</v>
      </c>
      <c r="D211" s="301">
        <f>15*0.3*50/$G$215</f>
        <v>0.15</v>
      </c>
      <c r="E211" s="1"/>
      <c r="F211" s="1"/>
      <c r="G211" s="1"/>
      <c r="H211" s="1"/>
      <c r="I211" s="1"/>
      <c r="J211" s="1"/>
      <c r="K211" s="1"/>
      <c r="L211" s="1"/>
      <c r="M211" s="1"/>
      <c r="N211" s="1"/>
      <c r="O211" s="1"/>
      <c r="P211" s="1"/>
    </row>
    <row r="212">
      <c r="A212" s="1"/>
      <c r="B212" s="46" t="s">
        <v>167</v>
      </c>
      <c r="C212" s="84"/>
      <c r="D212" s="1"/>
      <c r="E212" s="1"/>
      <c r="F212" s="1"/>
      <c r="G212" s="1"/>
      <c r="H212" s="1"/>
      <c r="I212" s="1"/>
      <c r="J212" s="1"/>
      <c r="K212" s="1"/>
      <c r="L212" s="1"/>
      <c r="M212" s="1"/>
      <c r="N212" s="1"/>
      <c r="O212" s="1"/>
      <c r="P212" s="1"/>
    </row>
    <row r="213">
      <c r="A213" s="1"/>
      <c r="B213" s="1"/>
      <c r="C213" s="1"/>
      <c r="D213" s="1"/>
      <c r="E213" s="1"/>
      <c r="F213" s="1"/>
      <c r="G213" s="1"/>
      <c r="H213" s="1"/>
      <c r="I213" s="1"/>
      <c r="J213" s="1"/>
      <c r="K213" s="1"/>
      <c r="L213" s="1"/>
      <c r="M213" s="1"/>
      <c r="N213" s="1"/>
      <c r="O213" s="1"/>
      <c r="P213" s="1"/>
    </row>
    <row r="214">
      <c r="A214" s="1"/>
      <c r="B214" s="46" t="s">
        <v>84</v>
      </c>
      <c r="C214" s="46" t="s">
        <v>85</v>
      </c>
      <c r="D214" s="46" t="s">
        <v>86</v>
      </c>
      <c r="E214" s="46" t="s">
        <v>168</v>
      </c>
      <c r="F214" s="46" t="s">
        <v>169</v>
      </c>
      <c r="G214" s="46" t="s">
        <v>87</v>
      </c>
      <c r="H214" s="81" t="s">
        <v>88</v>
      </c>
      <c r="I214" s="46" t="s">
        <v>89</v>
      </c>
      <c r="J214" s="46" t="s">
        <v>90</v>
      </c>
      <c r="K214" s="1"/>
      <c r="L214" s="1"/>
      <c r="M214" s="1"/>
      <c r="N214" s="1"/>
      <c r="O214" s="1"/>
      <c r="P214" s="1"/>
    </row>
    <row r="215">
      <c r="A215" s="1"/>
      <c r="B215" s="122" t="s">
        <v>170</v>
      </c>
      <c r="C215" s="143" t="s">
        <v>171</v>
      </c>
      <c r="D215" s="84" t="str">
        <f t="shared" ref="D215:D217" si="26">if(C215="","","(無期限)")</f>
        <v>(無期限)</v>
      </c>
      <c r="E215" s="84">
        <f>C207*C209</f>
        <v>1500</v>
      </c>
      <c r="F215" s="85">
        <v>0.0</v>
      </c>
      <c r="G215" s="83">
        <v>1500.0</v>
      </c>
      <c r="H215" s="101">
        <v>2.0</v>
      </c>
      <c r="I215" s="87">
        <f t="shared" ref="I215:I217" si="27">H215*F215</f>
        <v>0</v>
      </c>
      <c r="J215" s="88">
        <f t="shared" ref="J215:J217" si="28">G215*H215</f>
        <v>3000</v>
      </c>
      <c r="K215" s="1"/>
      <c r="L215" s="1"/>
      <c r="M215" s="1"/>
      <c r="N215" s="1"/>
      <c r="O215" s="1"/>
      <c r="P215" s="1"/>
    </row>
    <row r="216">
      <c r="A216" s="1"/>
      <c r="B216" s="302" t="s">
        <v>125</v>
      </c>
      <c r="C216" s="143" t="s">
        <v>171</v>
      </c>
      <c r="D216" s="84" t="str">
        <f t="shared" si="26"/>
        <v>(無期限)</v>
      </c>
      <c r="E216" s="84">
        <v>1.0</v>
      </c>
      <c r="F216" s="85">
        <v>0.0</v>
      </c>
      <c r="G216" s="144">
        <v>50000.0</v>
      </c>
      <c r="H216" s="101">
        <v>0.0</v>
      </c>
      <c r="I216" s="87">
        <f t="shared" si="27"/>
        <v>0</v>
      </c>
      <c r="J216" s="88">
        <f t="shared" si="28"/>
        <v>0</v>
      </c>
      <c r="K216" s="1"/>
      <c r="L216" s="1"/>
      <c r="M216" s="1"/>
      <c r="N216" s="1"/>
      <c r="O216" s="1"/>
      <c r="P216" s="1"/>
    </row>
    <row r="217">
      <c r="A217" s="1"/>
      <c r="B217" s="122" t="s">
        <v>353</v>
      </c>
      <c r="C217" s="143" t="s">
        <v>171</v>
      </c>
      <c r="D217" s="84" t="str">
        <f t="shared" si="26"/>
        <v>(無期限)</v>
      </c>
      <c r="E217" s="84">
        <v>1.0</v>
      </c>
      <c r="F217" s="85">
        <v>0.0</v>
      </c>
      <c r="G217" s="83">
        <v>1.0</v>
      </c>
      <c r="H217" s="101">
        <v>0.0</v>
      </c>
      <c r="I217" s="87">
        <f t="shared" si="27"/>
        <v>0</v>
      </c>
      <c r="J217" s="88">
        <f t="shared" si="28"/>
        <v>0</v>
      </c>
      <c r="K217" s="1"/>
      <c r="L217" s="1"/>
      <c r="M217" s="1"/>
      <c r="N217" s="1"/>
      <c r="O217" s="1"/>
      <c r="P217" s="1"/>
    </row>
    <row r="218">
      <c r="A218" s="1"/>
      <c r="B218" s="1"/>
      <c r="C218" s="1"/>
      <c r="D218" s="1"/>
      <c r="E218" s="1"/>
      <c r="F218" s="1"/>
      <c r="G218" s="89" t="s">
        <v>93</v>
      </c>
      <c r="H218" s="28"/>
      <c r="I218" s="59">
        <f t="shared" ref="I218:J218" si="29">SUM(I215:I217)</f>
        <v>0</v>
      </c>
      <c r="J218" s="88">
        <f t="shared" si="29"/>
        <v>3000</v>
      </c>
      <c r="K218" s="1"/>
      <c r="L218" s="1"/>
      <c r="M218" s="1"/>
      <c r="N218" s="1"/>
      <c r="O218" s="1"/>
      <c r="P218" s="1"/>
    </row>
    <row r="219">
      <c r="A219" s="1"/>
      <c r="B219" s="303" t="s">
        <v>354</v>
      </c>
      <c r="C219" s="1"/>
      <c r="D219" s="1"/>
      <c r="E219" s="1"/>
      <c r="F219" s="1"/>
      <c r="G219" s="89" t="s">
        <v>94</v>
      </c>
      <c r="H219" s="28"/>
      <c r="I219" s="127">
        <f>C202</f>
        <v>780</v>
      </c>
      <c r="J219" s="145" t="s">
        <v>95</v>
      </c>
      <c r="K219" s="1"/>
      <c r="L219" s="1"/>
      <c r="M219" s="1"/>
      <c r="N219" s="1"/>
      <c r="O219" s="1"/>
      <c r="P219" s="1"/>
    </row>
    <row r="220">
      <c r="A220" s="1"/>
      <c r="B220" s="1"/>
      <c r="C220" s="1"/>
      <c r="D220" s="1"/>
      <c r="E220" s="1"/>
      <c r="F220" s="1"/>
      <c r="G220" s="89" t="s">
        <v>96</v>
      </c>
      <c r="H220" s="28"/>
      <c r="I220" s="92">
        <f>iferror(1-(I219/J218),"")</f>
        <v>0.74</v>
      </c>
      <c r="J220" s="93">
        <f>J218/I219</f>
        <v>3.846153846</v>
      </c>
      <c r="K220" s="1"/>
      <c r="L220" s="1"/>
      <c r="M220" s="1"/>
      <c r="N220" s="1"/>
      <c r="O220" s="1"/>
      <c r="P220" s="1"/>
    </row>
  </sheetData>
  <mergeCells count="25">
    <mergeCell ref="E6:F6"/>
    <mergeCell ref="G31:H31"/>
    <mergeCell ref="G32:H32"/>
    <mergeCell ref="G33:H33"/>
    <mergeCell ref="G52:H52"/>
    <mergeCell ref="G53:H53"/>
    <mergeCell ref="G54:H54"/>
    <mergeCell ref="G78:H78"/>
    <mergeCell ref="G79:H79"/>
    <mergeCell ref="G80:H80"/>
    <mergeCell ref="G103:H103"/>
    <mergeCell ref="G104:H104"/>
    <mergeCell ref="G105:H105"/>
    <mergeCell ref="G127:H127"/>
    <mergeCell ref="G189:H189"/>
    <mergeCell ref="G218:H218"/>
    <mergeCell ref="G219:H219"/>
    <mergeCell ref="G220:H220"/>
    <mergeCell ref="G128:H128"/>
    <mergeCell ref="G129:H129"/>
    <mergeCell ref="G160:H160"/>
    <mergeCell ref="G161:H161"/>
    <mergeCell ref="G162:H162"/>
    <mergeCell ref="G187:H187"/>
    <mergeCell ref="G188:H188"/>
  </mergeCells>
  <dataValidations>
    <dataValidation type="list" allowBlank="1" showErrorMessage="1" sqref="M2">
      <formula1>"未承認,承認済,社内承認済"</formula1>
    </dataValidation>
    <dataValidation type="list" allowBlank="1" sqref="C30:C33 C49:C51 C71:C80 C98:C105 C122:C129 C147:C162">
      <formula1>"有償販売,有償+無償販売,無償販売"</formula1>
    </dataValidation>
    <dataValidation type="list" allowBlank="1" sqref="C186 C215:C217">
      <formula1>"有償販売,有償+無償販売,無償販売,無償扱い"</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0"/>
    <col customWidth="1" min="2" max="2" width="24.2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151"/>
      <c r="B2" s="156"/>
      <c r="C2" s="157"/>
      <c r="D2" s="157"/>
      <c r="E2" s="157"/>
      <c r="F2" s="158" t="s">
        <v>41</v>
      </c>
      <c r="G2" s="159"/>
      <c r="H2" s="14" t="s">
        <v>42</v>
      </c>
      <c r="I2" s="160"/>
    </row>
    <row r="3">
      <c r="A3" s="161" t="s">
        <v>181</v>
      </c>
      <c r="B3" s="162"/>
      <c r="C3" s="162"/>
      <c r="D3" s="162"/>
      <c r="E3" s="162"/>
      <c r="F3" s="162"/>
      <c r="G3" s="162"/>
      <c r="H3" s="163"/>
      <c r="I3" s="164" t="s">
        <v>182</v>
      </c>
    </row>
    <row r="4">
      <c r="A4" s="165" t="s">
        <v>183</v>
      </c>
      <c r="B4" s="166" t="s">
        <v>355</v>
      </c>
      <c r="C4" s="167"/>
      <c r="D4" s="167"/>
      <c r="E4" s="167"/>
      <c r="F4" s="167"/>
      <c r="G4" s="167"/>
      <c r="H4" s="168"/>
      <c r="I4" s="10" t="s">
        <v>185</v>
      </c>
    </row>
    <row r="5">
      <c r="A5" s="169" t="s">
        <v>186</v>
      </c>
      <c r="B5" s="170"/>
      <c r="C5" s="171"/>
      <c r="D5" s="171"/>
      <c r="E5" s="172"/>
      <c r="F5" s="171"/>
      <c r="G5" s="171"/>
      <c r="H5" s="173"/>
    </row>
    <row r="6">
      <c r="A6" s="165" t="s">
        <v>188</v>
      </c>
      <c r="B6" s="166" t="s">
        <v>189</v>
      </c>
      <c r="C6" s="167"/>
      <c r="D6" s="167"/>
      <c r="E6" s="167"/>
      <c r="F6" s="167"/>
      <c r="G6" s="167"/>
      <c r="H6" s="168"/>
    </row>
    <row r="7">
      <c r="A7" s="165" t="s">
        <v>190</v>
      </c>
      <c r="B7" s="174">
        <v>46111.5</v>
      </c>
      <c r="C7" s="175" t="s">
        <v>191</v>
      </c>
      <c r="D7" s="174">
        <v>46143.45832175926</v>
      </c>
      <c r="E7" s="167"/>
      <c r="F7" s="167"/>
      <c r="G7" s="167"/>
      <c r="H7" s="168"/>
      <c r="I7" s="10" t="s">
        <v>185</v>
      </c>
    </row>
    <row r="8">
      <c r="A8" s="165" t="s">
        <v>192</v>
      </c>
      <c r="B8" s="175" t="s">
        <v>193</v>
      </c>
      <c r="C8" s="166" t="s">
        <v>194</v>
      </c>
      <c r="D8" s="167"/>
      <c r="E8" s="167"/>
      <c r="F8" s="167"/>
      <c r="G8" s="167"/>
      <c r="H8" s="168"/>
    </row>
    <row r="9">
      <c r="A9" s="165" t="s">
        <v>195</v>
      </c>
      <c r="B9" s="166" t="s">
        <v>124</v>
      </c>
      <c r="C9" s="167"/>
      <c r="D9" s="167"/>
      <c r="E9" s="167"/>
      <c r="F9" s="167"/>
      <c r="G9" s="167"/>
      <c r="H9" s="168"/>
      <c r="I9" s="10" t="s">
        <v>21</v>
      </c>
    </row>
    <row r="10">
      <c r="A10" s="165" t="s">
        <v>196</v>
      </c>
      <c r="B10" s="170" t="s">
        <v>197</v>
      </c>
      <c r="C10" s="167"/>
      <c r="D10" s="167"/>
      <c r="E10" s="167"/>
      <c r="F10" s="167"/>
      <c r="G10" s="167"/>
      <c r="H10" s="168"/>
      <c r="I10" s="10" t="s">
        <v>21</v>
      </c>
    </row>
    <row r="11">
      <c r="A11" s="176" t="s">
        <v>198</v>
      </c>
      <c r="B11" s="177" t="s">
        <v>199</v>
      </c>
      <c r="C11" s="178"/>
      <c r="D11" s="178"/>
      <c r="E11" s="178"/>
      <c r="F11" s="178"/>
      <c r="G11" s="178"/>
      <c r="H11" s="179"/>
      <c r="I11" s="1"/>
    </row>
    <row r="12">
      <c r="A12" s="176" t="s">
        <v>200</v>
      </c>
      <c r="B12" s="175" t="s">
        <v>156</v>
      </c>
      <c r="C12" s="178"/>
      <c r="D12" s="178"/>
      <c r="E12" s="178"/>
      <c r="F12" s="178"/>
      <c r="G12" s="178"/>
      <c r="H12" s="179"/>
      <c r="I12" s="1"/>
    </row>
    <row r="13">
      <c r="A13" s="176" t="s">
        <v>201</v>
      </c>
      <c r="B13" s="175" t="s">
        <v>156</v>
      </c>
      <c r="C13" s="180"/>
      <c r="D13" s="178"/>
      <c r="E13" s="178"/>
      <c r="F13" s="178"/>
      <c r="G13" s="178"/>
      <c r="H13" s="179"/>
      <c r="I13" s="1"/>
    </row>
    <row r="14">
      <c r="A14" s="181" t="s">
        <v>202</v>
      </c>
      <c r="B14" s="182"/>
      <c r="C14" s="183" t="s">
        <v>203</v>
      </c>
      <c r="D14" s="184" t="str">
        <f>B14/60&amp;"時間"</f>
        <v>0時間</v>
      </c>
      <c r="E14" s="185" t="s">
        <v>204</v>
      </c>
      <c r="F14" s="186" t="s">
        <v>356</v>
      </c>
      <c r="G14" s="185"/>
      <c r="H14" s="187"/>
      <c r="I14" s="188"/>
    </row>
    <row r="15">
      <c r="A15" s="189" t="s">
        <v>206</v>
      </c>
      <c r="B15" s="190" t="s">
        <v>207</v>
      </c>
      <c r="C15" s="191"/>
      <c r="D15" s="185"/>
      <c r="E15" s="185"/>
      <c r="F15" s="185"/>
      <c r="G15" s="185"/>
      <c r="H15" s="187"/>
      <c r="I15" s="188"/>
    </row>
    <row r="16">
      <c r="A16" s="165" t="s">
        <v>208</v>
      </c>
      <c r="B16" s="175" t="s">
        <v>193</v>
      </c>
      <c r="C16" s="167"/>
      <c r="D16" s="167"/>
      <c r="E16" s="167"/>
      <c r="F16" s="167"/>
      <c r="G16" s="167"/>
      <c r="H16" s="168"/>
    </row>
    <row r="17">
      <c r="A17" s="165" t="s">
        <v>209</v>
      </c>
      <c r="B17" s="170">
        <v>200.0</v>
      </c>
      <c r="C17" s="166" t="s">
        <v>210</v>
      </c>
      <c r="D17" s="167"/>
      <c r="E17" s="167"/>
      <c r="F17" s="167"/>
      <c r="G17" s="167"/>
      <c r="H17" s="168"/>
    </row>
    <row r="18">
      <c r="A18" s="165" t="s">
        <v>211</v>
      </c>
      <c r="B18" s="175" t="s">
        <v>193</v>
      </c>
      <c r="C18" s="167"/>
      <c r="D18" s="167"/>
      <c r="E18" s="167"/>
      <c r="F18" s="167"/>
      <c r="G18" s="167"/>
      <c r="H18" s="168"/>
    </row>
    <row r="19">
      <c r="A19" s="165" t="s">
        <v>212</v>
      </c>
      <c r="B19" s="166">
        <v>10.0</v>
      </c>
      <c r="C19" s="166" t="s">
        <v>213</v>
      </c>
      <c r="D19" s="167"/>
      <c r="E19" s="167"/>
      <c r="F19" s="167"/>
      <c r="G19" s="167"/>
      <c r="H19" s="168"/>
    </row>
    <row r="20">
      <c r="A20" s="165" t="s">
        <v>214</v>
      </c>
      <c r="B20" s="175" t="s">
        <v>215</v>
      </c>
      <c r="C20" s="166" t="s">
        <v>216</v>
      </c>
      <c r="D20" s="167"/>
      <c r="E20" s="167"/>
      <c r="F20" s="167"/>
      <c r="G20" s="167"/>
      <c r="H20" s="168"/>
    </row>
    <row r="21">
      <c r="A21" s="165" t="s">
        <v>217</v>
      </c>
      <c r="B21" s="175" t="s">
        <v>156</v>
      </c>
      <c r="C21" s="167"/>
      <c r="D21" s="167"/>
      <c r="E21" s="167"/>
      <c r="F21" s="167"/>
      <c r="G21" s="167"/>
      <c r="H21" s="168"/>
    </row>
    <row r="22">
      <c r="A22" s="165" t="s">
        <v>218</v>
      </c>
      <c r="B22" s="175" t="s">
        <v>193</v>
      </c>
      <c r="C22" s="167"/>
      <c r="D22" s="167"/>
      <c r="E22" s="167"/>
      <c r="F22" s="167"/>
      <c r="G22" s="167"/>
      <c r="H22" s="168"/>
    </row>
    <row r="23">
      <c r="A23" s="192" t="s">
        <v>219</v>
      </c>
      <c r="B23" s="193">
        <v>150.0</v>
      </c>
      <c r="C23" s="194" t="s">
        <v>220</v>
      </c>
      <c r="D23" s="178" t="s">
        <v>221</v>
      </c>
      <c r="E23" s="178"/>
      <c r="F23" s="178"/>
      <c r="G23" s="178"/>
      <c r="H23" s="179"/>
      <c r="I23" s="1"/>
    </row>
    <row r="24">
      <c r="A24" s="165" t="s">
        <v>222</v>
      </c>
      <c r="B24" s="175" t="s">
        <v>193</v>
      </c>
      <c r="C24" s="167"/>
      <c r="D24" s="167"/>
      <c r="E24" s="167"/>
      <c r="F24" s="167"/>
      <c r="G24" s="167"/>
      <c r="H24" s="168"/>
    </row>
    <row r="25">
      <c r="A25" s="192" t="s">
        <v>223</v>
      </c>
      <c r="B25" s="195">
        <v>1500.0</v>
      </c>
      <c r="C25" s="194" t="s">
        <v>220</v>
      </c>
      <c r="D25" s="178" t="s">
        <v>224</v>
      </c>
      <c r="E25" s="178"/>
      <c r="F25" s="178"/>
      <c r="G25" s="178"/>
      <c r="H25" s="179"/>
      <c r="I25" s="1"/>
    </row>
    <row r="26">
      <c r="A26" s="165" t="s">
        <v>225</v>
      </c>
      <c r="B26" s="175" t="s">
        <v>156</v>
      </c>
      <c r="C26" s="167"/>
      <c r="D26" s="167"/>
      <c r="E26" s="167"/>
      <c r="F26" s="167"/>
      <c r="G26" s="167"/>
      <c r="H26" s="168"/>
    </row>
    <row r="27">
      <c r="A27" s="165" t="s">
        <v>226</v>
      </c>
      <c r="B27" s="167"/>
      <c r="C27" s="175" t="s">
        <v>227</v>
      </c>
      <c r="D27" s="167"/>
      <c r="E27" s="166" t="s">
        <v>228</v>
      </c>
      <c r="F27" s="166" t="s">
        <v>229</v>
      </c>
      <c r="G27" s="167"/>
      <c r="H27" s="168"/>
      <c r="I27" s="196"/>
    </row>
    <row r="28">
      <c r="A28" s="165" t="s">
        <v>230</v>
      </c>
      <c r="B28" s="166"/>
      <c r="C28" s="167"/>
      <c r="D28" s="167"/>
      <c r="E28" s="167"/>
      <c r="F28" s="167"/>
      <c r="G28" s="167"/>
      <c r="H28" s="168"/>
      <c r="I28" s="10" t="s">
        <v>185</v>
      </c>
    </row>
    <row r="29">
      <c r="A29" s="197" t="s">
        <v>232</v>
      </c>
      <c r="B29" s="166"/>
      <c r="C29" s="166"/>
      <c r="D29" s="167"/>
      <c r="E29" s="167"/>
      <c r="F29" s="167"/>
      <c r="G29" s="167"/>
      <c r="H29" s="168"/>
      <c r="I29" s="10" t="s">
        <v>185</v>
      </c>
    </row>
    <row r="30">
      <c r="A30" s="197" t="s">
        <v>234</v>
      </c>
      <c r="B30" s="166"/>
      <c r="C30" s="166"/>
      <c r="D30" s="167"/>
      <c r="E30" s="167"/>
      <c r="F30" s="167"/>
      <c r="G30" s="167"/>
      <c r="H30" s="168"/>
      <c r="I30" s="10" t="s">
        <v>185</v>
      </c>
    </row>
    <row r="31">
      <c r="A31" s="198" t="s">
        <v>236</v>
      </c>
      <c r="B31" s="194" t="s">
        <v>237</v>
      </c>
      <c r="C31" s="194" t="s">
        <v>238</v>
      </c>
      <c r="D31" s="178"/>
      <c r="E31" s="178"/>
      <c r="F31" s="178"/>
      <c r="G31" s="178"/>
      <c r="H31" s="179"/>
      <c r="I31" s="1"/>
    </row>
    <row r="32">
      <c r="A32" s="199"/>
      <c r="B32" s="194" t="s">
        <v>239</v>
      </c>
      <c r="C32" s="194"/>
      <c r="D32" s="178"/>
      <c r="E32" s="178"/>
      <c r="F32" s="178"/>
      <c r="G32" s="178"/>
      <c r="H32" s="179"/>
      <c r="I32" s="1"/>
    </row>
    <row r="33">
      <c r="A33" s="199"/>
      <c r="B33" s="194" t="s">
        <v>240</v>
      </c>
      <c r="C33" s="194"/>
      <c r="D33" s="178"/>
      <c r="E33" s="178"/>
      <c r="F33" s="178"/>
      <c r="G33" s="178"/>
      <c r="H33" s="179"/>
      <c r="I33" s="1"/>
    </row>
    <row r="34">
      <c r="A34" s="199"/>
      <c r="B34" s="194" t="s">
        <v>241</v>
      </c>
      <c r="C34" s="194"/>
      <c r="D34" s="178"/>
      <c r="E34" s="178"/>
      <c r="F34" s="178"/>
      <c r="G34" s="178"/>
      <c r="H34" s="179"/>
      <c r="I34" s="1"/>
    </row>
    <row r="35">
      <c r="A35" s="199"/>
      <c r="B35" s="194" t="s">
        <v>242</v>
      </c>
      <c r="C35" s="194"/>
      <c r="D35" s="178"/>
      <c r="E35" s="178"/>
      <c r="F35" s="178"/>
      <c r="G35" s="178"/>
      <c r="H35" s="179"/>
      <c r="I35" s="1"/>
    </row>
    <row r="36">
      <c r="A36" s="197" t="s">
        <v>22</v>
      </c>
      <c r="B36" s="200" t="s">
        <v>357</v>
      </c>
      <c r="C36" s="167"/>
      <c r="D36" s="167"/>
      <c r="E36" s="167"/>
      <c r="F36" s="167"/>
      <c r="G36" s="167"/>
      <c r="H36" s="168"/>
    </row>
    <row r="37">
      <c r="A37" s="201"/>
      <c r="B37" s="180" t="s">
        <v>244</v>
      </c>
      <c r="C37" s="167"/>
      <c r="D37" s="167"/>
      <c r="E37" s="167"/>
      <c r="F37" s="167"/>
      <c r="G37" s="167"/>
      <c r="H37" s="168"/>
    </row>
    <row r="38">
      <c r="A38" s="201"/>
      <c r="B38" s="180"/>
      <c r="C38" s="167"/>
      <c r="D38" s="167"/>
      <c r="E38" s="167"/>
      <c r="F38" s="167"/>
      <c r="G38" s="167"/>
      <c r="H38" s="168"/>
    </row>
    <row r="39">
      <c r="A39" s="202" t="s">
        <v>245</v>
      </c>
      <c r="B39" s="203"/>
      <c r="C39" s="204"/>
      <c r="D39" s="204"/>
      <c r="E39" s="204"/>
      <c r="F39" s="204"/>
      <c r="G39" s="204"/>
      <c r="H39" s="205"/>
      <c r="I39" s="1"/>
    </row>
    <row r="40">
      <c r="A40" s="13" t="s">
        <v>246</v>
      </c>
      <c r="B40" s="7" t="s">
        <v>358</v>
      </c>
      <c r="C40" s="1"/>
      <c r="D40" s="1"/>
      <c r="E40" s="1"/>
      <c r="F40" s="1"/>
      <c r="G40" s="1"/>
      <c r="H40" s="206"/>
      <c r="I40" s="1"/>
    </row>
    <row r="41">
      <c r="A41" s="13" t="s">
        <v>359</v>
      </c>
      <c r="B41" s="208" t="s">
        <v>360</v>
      </c>
      <c r="C41" s="209"/>
      <c r="D41" s="209"/>
      <c r="E41" s="209"/>
      <c r="F41" s="209"/>
      <c r="G41" s="209"/>
      <c r="H41" s="210"/>
      <c r="I41" s="1"/>
    </row>
    <row r="42">
      <c r="A42" s="211" t="s">
        <v>250</v>
      </c>
      <c r="B42" s="212"/>
      <c r="C42" s="212"/>
      <c r="D42" s="212"/>
      <c r="E42" s="212"/>
      <c r="F42" s="212"/>
      <c r="G42" s="212"/>
      <c r="H42" s="213"/>
    </row>
    <row r="43" ht="78.75" customHeight="1">
      <c r="A43" s="304" t="s">
        <v>251</v>
      </c>
      <c r="B43" s="305" t="s">
        <v>361</v>
      </c>
      <c r="C43" s="306"/>
      <c r="E43" s="217" t="s">
        <v>253</v>
      </c>
      <c r="F43" s="218"/>
      <c r="G43" s="218"/>
      <c r="I43" s="219" t="s">
        <v>21</v>
      </c>
    </row>
    <row r="44" ht="18.75" customHeight="1">
      <c r="A44" s="304" t="s">
        <v>254</v>
      </c>
      <c r="B44" s="307" t="str">
        <f>IFERROR(__xludf.DUMMYFUNCTION("VLOOKUP(C44,IMPORTRANGE(""https://docs.google.com/spreadsheets/d/1oJmkDK37Qizzdaxn4KCwh1BMwdNWuHCx3AGH8BC9yu0/edit?gid=781951868#gid=781951868"",""キャラ!D:F""),3,false)"),"識別怪獣兵器1 鳴海 弦")</f>
        <v>識別怪獣兵器1 鳴海 弦</v>
      </c>
      <c r="C44" s="308" t="s">
        <v>362</v>
      </c>
      <c r="D44" s="222"/>
      <c r="E44" s="218"/>
      <c r="F44" s="218"/>
      <c r="I44" s="219" t="s">
        <v>21</v>
      </c>
    </row>
    <row r="45" ht="78.75" customHeight="1">
      <c r="A45" s="304" t="s">
        <v>256</v>
      </c>
      <c r="B45" s="309" t="s">
        <v>257</v>
      </c>
      <c r="C45" s="310"/>
      <c r="E45" s="217" t="s">
        <v>258</v>
      </c>
      <c r="F45" s="218"/>
      <c r="I45" s="219" t="s">
        <v>259</v>
      </c>
    </row>
    <row r="46" ht="78.75" customHeight="1">
      <c r="A46" s="304" t="s">
        <v>260</v>
      </c>
      <c r="B46" s="311" t="s">
        <v>261</v>
      </c>
      <c r="C46" s="312"/>
      <c r="E46" s="217" t="s">
        <v>253</v>
      </c>
      <c r="F46" s="219" t="s">
        <v>262</v>
      </c>
      <c r="I46" s="219" t="s">
        <v>21</v>
      </c>
    </row>
    <row r="47">
      <c r="A47" s="227" t="s">
        <v>263</v>
      </c>
      <c r="B47" s="204"/>
      <c r="C47" s="204"/>
      <c r="D47" s="204"/>
      <c r="E47" s="204"/>
      <c r="F47" s="204"/>
      <c r="G47" s="204"/>
      <c r="H47" s="205"/>
      <c r="I47" s="228" t="s">
        <v>21</v>
      </c>
    </row>
    <row r="48">
      <c r="A48" s="1"/>
      <c r="B48" s="1"/>
      <c r="C48" s="1"/>
      <c r="D48" s="1"/>
      <c r="E48" s="1"/>
      <c r="F48" s="1"/>
      <c r="G48" s="1"/>
      <c r="H48" s="206"/>
      <c r="I48" s="1"/>
    </row>
    <row r="49">
      <c r="A49" s="1"/>
      <c r="B49" s="229" t="s">
        <v>264</v>
      </c>
      <c r="C49" s="229" t="s">
        <v>265</v>
      </c>
      <c r="D49" s="229" t="s">
        <v>266</v>
      </c>
      <c r="E49" s="3" t="s">
        <v>267</v>
      </c>
      <c r="F49" s="1"/>
      <c r="G49" s="1"/>
      <c r="H49" s="206"/>
      <c r="I49" s="1"/>
    </row>
    <row r="50">
      <c r="A50" s="1" t="s">
        <v>268</v>
      </c>
      <c r="B50" s="230">
        <v>0.0075</v>
      </c>
      <c r="C50" s="231">
        <f t="shared" ref="C50:C54" si="1">countif($C$59:$C$114,A50)</f>
        <v>1</v>
      </c>
      <c r="D50" s="232">
        <f t="shared" ref="D50:D54" si="2">$D$55*B50</f>
        <v>351</v>
      </c>
      <c r="E50" s="233">
        <f t="shared" ref="E50:E54" si="3">IFERROR(D50/C50,"0")</f>
        <v>351</v>
      </c>
      <c r="F50" s="1"/>
      <c r="G50" s="1"/>
      <c r="H50" s="206"/>
      <c r="I50" s="1"/>
    </row>
    <row r="51">
      <c r="A51" s="1" t="s">
        <v>269</v>
      </c>
      <c r="B51" s="234">
        <v>0.0225</v>
      </c>
      <c r="C51" s="231">
        <f t="shared" si="1"/>
        <v>19</v>
      </c>
      <c r="D51" s="232">
        <f t="shared" si="2"/>
        <v>1053</v>
      </c>
      <c r="E51" s="233">
        <f t="shared" si="3"/>
        <v>55.42105263</v>
      </c>
      <c r="F51" s="1"/>
      <c r="G51" s="1"/>
      <c r="H51" s="206"/>
      <c r="I51" s="1"/>
    </row>
    <row r="52">
      <c r="A52" s="1" t="s">
        <v>270</v>
      </c>
      <c r="B52" s="234">
        <v>0.1</v>
      </c>
      <c r="C52" s="231">
        <f t="shared" si="1"/>
        <v>16</v>
      </c>
      <c r="D52" s="232">
        <f t="shared" si="2"/>
        <v>4680</v>
      </c>
      <c r="E52" s="233">
        <f t="shared" si="3"/>
        <v>292.5</v>
      </c>
      <c r="F52" s="1"/>
      <c r="G52" s="1"/>
      <c r="H52" s="206"/>
      <c r="I52" s="1"/>
    </row>
    <row r="53">
      <c r="A53" s="1" t="s">
        <v>271</v>
      </c>
      <c r="B53" s="234">
        <v>0.35</v>
      </c>
      <c r="C53" s="231">
        <f t="shared" si="1"/>
        <v>10</v>
      </c>
      <c r="D53" s="232">
        <f t="shared" si="2"/>
        <v>16380</v>
      </c>
      <c r="E53" s="233">
        <f t="shared" si="3"/>
        <v>1638</v>
      </c>
      <c r="F53" s="1"/>
      <c r="G53" s="1"/>
      <c r="H53" s="206"/>
      <c r="I53" s="1"/>
    </row>
    <row r="54">
      <c r="A54" s="235" t="s">
        <v>272</v>
      </c>
      <c r="B54" s="236">
        <v>0.52</v>
      </c>
      <c r="C54" s="231">
        <f t="shared" si="1"/>
        <v>9</v>
      </c>
      <c r="D54" s="237">
        <f t="shared" si="2"/>
        <v>24336</v>
      </c>
      <c r="E54" s="233">
        <f t="shared" si="3"/>
        <v>2704</v>
      </c>
      <c r="F54" s="1"/>
      <c r="G54" s="1"/>
      <c r="H54" s="206"/>
      <c r="I54" s="1"/>
    </row>
    <row r="55">
      <c r="A55" s="231" t="s">
        <v>93</v>
      </c>
      <c r="B55" s="238">
        <f>sum(B50:B54)</f>
        <v>1</v>
      </c>
      <c r="C55" s="239">
        <f>COUNTA(B59:B114)</f>
        <v>55</v>
      </c>
      <c r="D55" s="313">
        <v>46800.0</v>
      </c>
      <c r="E55" s="241"/>
      <c r="F55" s="1"/>
      <c r="G55" s="1"/>
      <c r="H55" s="206"/>
      <c r="I55" s="1"/>
    </row>
    <row r="56">
      <c r="A56" s="68"/>
      <c r="B56" s="242"/>
      <c r="C56" s="231">
        <f>sum(C50:C54)</f>
        <v>55</v>
      </c>
      <c r="D56" s="68"/>
      <c r="E56" s="1"/>
      <c r="F56" s="1"/>
      <c r="G56" s="1"/>
      <c r="H56" s="206"/>
      <c r="I56" s="1"/>
    </row>
    <row r="57">
      <c r="A57" s="1"/>
      <c r="B57" s="1"/>
      <c r="C57" s="1"/>
      <c r="D57" s="1"/>
      <c r="E57" s="1"/>
      <c r="F57" s="1"/>
      <c r="G57" s="1"/>
      <c r="H57" s="206"/>
      <c r="I57" s="1"/>
    </row>
    <row r="58">
      <c r="A58" s="243" t="s">
        <v>273</v>
      </c>
      <c r="B58" s="244" t="s">
        <v>274</v>
      </c>
      <c r="C58" s="244" t="s">
        <v>275</v>
      </c>
      <c r="D58" s="245" t="s">
        <v>276</v>
      </c>
      <c r="E58" s="246" t="s">
        <v>277</v>
      </c>
      <c r="F58" s="247" t="s">
        <v>278</v>
      </c>
      <c r="G58" s="1"/>
      <c r="H58" s="206"/>
      <c r="I58" s="1"/>
    </row>
    <row r="59">
      <c r="A59" s="248" t="s">
        <v>362</v>
      </c>
      <c r="B59" s="249" t="str">
        <f>IFERROR(__xludf.DUMMYFUNCTION("VLOOKUP(A59,IMPORTRANGE(""https://docs.google.com/spreadsheets/d/1oJmkDK37Qizzdaxn4KCwh1BMwdNWuHCx3AGH8BC9yu0/edit?gid=781951868#gid=781951868"",""キャラ!D:F""),3,false)"),"識別怪獣兵器1 鳴海 弦")</f>
        <v>識別怪獣兵器1 鳴海 弦</v>
      </c>
      <c r="C59" s="250" t="s">
        <v>268</v>
      </c>
      <c r="D59" s="251">
        <f t="shared" ref="D59:D62" si="4">vlookup(C59,$A$50:$D$54,4,false)/vlookup(C59,$A$50:$D$54,3,false)</f>
        <v>351</v>
      </c>
      <c r="E59" s="252">
        <f>IFERROR(rounddown(F59/$C$50,5),"0%")</f>
        <v>0.0075</v>
      </c>
      <c r="F59" s="253">
        <v>0.0075</v>
      </c>
      <c r="G59" s="68"/>
      <c r="H59" s="206"/>
      <c r="I59" s="1"/>
    </row>
    <row r="60">
      <c r="A60" s="254" t="s">
        <v>279</v>
      </c>
      <c r="B60" s="249" t="str">
        <f>IFERROR(__xludf.DUMMYFUNCTION("VLOOKUP(A60,IMPORTRANGE(""https://docs.google.com/spreadsheets/d/1oJmkDK37Qizzdaxn4KCwh1BMwdNWuHCx3AGH8BC9yu0/edit?gid=781951868#gid=781951868"",""キャラ!D:F""),3,false)"),"第三部隊隊長 亜白 ミナ")</f>
        <v>第三部隊隊長 亜白 ミナ</v>
      </c>
      <c r="C60" s="255" t="s">
        <v>269</v>
      </c>
      <c r="D60" s="256">
        <f t="shared" si="4"/>
        <v>55.42105263</v>
      </c>
      <c r="E60" s="252">
        <f t="shared" ref="E60:E62" si="5">IFERROR(rounddown($F$60/$C$51,5),"0%")</f>
        <v>0.00118</v>
      </c>
      <c r="F60" s="253">
        <v>0.0225</v>
      </c>
      <c r="G60" s="1"/>
      <c r="H60" s="206"/>
      <c r="I60" s="1"/>
    </row>
    <row r="61">
      <c r="A61" s="254" t="s">
        <v>280</v>
      </c>
      <c r="B61" s="249" t="str">
        <f>IFERROR(__xludf.DUMMYFUNCTION("VLOOKUP(A61,IMPORTRANGE(""https://docs.google.com/spreadsheets/d/1oJmkDK37Qizzdaxn4KCwh1BMwdNWuHCx3AGH8BC9yu0/edit?gid=781951868#gid=781951868"",""キャラ!D:F""),3,false)"),"姉を想う盲愛 ユーリ・ブライア")</f>
        <v>姉を想う盲愛 ユーリ・ブライア</v>
      </c>
      <c r="C61" s="255" t="s">
        <v>269</v>
      </c>
      <c r="D61" s="256">
        <f t="shared" si="4"/>
        <v>55.42105263</v>
      </c>
      <c r="E61" s="252">
        <f t="shared" si="5"/>
        <v>0.00118</v>
      </c>
      <c r="F61" s="257"/>
      <c r="G61" s="1"/>
      <c r="H61" s="206"/>
      <c r="I61" s="1"/>
    </row>
    <row r="62">
      <c r="A62" s="314" t="s">
        <v>363</v>
      </c>
      <c r="B62" s="249" t="str">
        <f>IFERROR(__xludf.DUMMYFUNCTION("VLOOKUP(A62,IMPORTRANGE(""https://docs.google.com/spreadsheets/d/1oJmkDK37Qizzdaxn4KCwh1BMwdNWuHCx3AGH8BC9yu0/edit?gid=781951868#gid=781951868"",""キャラ!D:F""),3,false)"),"アクさらの愛 アイラ")</f>
        <v>アクさらの愛 アイラ</v>
      </c>
      <c r="C62" s="255" t="s">
        <v>269</v>
      </c>
      <c r="D62" s="256">
        <f t="shared" si="4"/>
        <v>55.42105263</v>
      </c>
      <c r="E62" s="252">
        <f t="shared" si="5"/>
        <v>0.00118</v>
      </c>
      <c r="F62" s="257"/>
      <c r="G62" s="1"/>
      <c r="H62" s="206"/>
      <c r="I62" s="1"/>
    </row>
    <row r="63">
      <c r="A63" s="258" t="s">
        <v>281</v>
      </c>
      <c r="B63" s="259" t="str">
        <f>IFERROR(__xludf.DUMMYFUNCTION("VLOOKUP(A63,IMPORTRANGE(""https://docs.google.com/spreadsheets/d/1oJmkDK37Qizzdaxn4KCwh1BMwdNWuHCx3AGH8BC9yu0/edit?gid=781951868#gid=781951868"",""キャラ!D:F""),3,false)"),"復讐を誓う片星 星野 アクア")</f>
        <v>復讐を誓う片星 星野 アクア</v>
      </c>
      <c r="C63" s="260" t="s">
        <v>269</v>
      </c>
      <c r="D63" s="261">
        <v>0.0</v>
      </c>
      <c r="E63" s="262">
        <v>0.0</v>
      </c>
      <c r="F63" s="257"/>
      <c r="G63" s="1"/>
      <c r="H63" s="206"/>
      <c r="I63" s="1"/>
    </row>
    <row r="64">
      <c r="A64" s="258" t="s">
        <v>282</v>
      </c>
      <c r="B64" s="259" t="str">
        <f>IFERROR(__xludf.DUMMYFUNCTION("VLOOKUP(A64,IMPORTRANGE(""https://docs.google.com/spreadsheets/d/1oJmkDK37Qizzdaxn4KCwh1BMwdNWuHCx3AGH8BC9yu0/edit?gid=781951868#gid=781951868"",""キャラ!D:F""),3,false)"),"賊王 亜左 弔兵衛")</f>
        <v>賊王 亜左 弔兵衛</v>
      </c>
      <c r="C64" s="260" t="s">
        <v>269</v>
      </c>
      <c r="D64" s="261">
        <v>0.0</v>
      </c>
      <c r="E64" s="262">
        <v>0.0</v>
      </c>
      <c r="F64" s="257"/>
      <c r="G64" s="1"/>
      <c r="H64" s="206"/>
      <c r="I64" s="1"/>
    </row>
    <row r="65">
      <c r="A65" s="258" t="s">
        <v>283</v>
      </c>
      <c r="B65" s="259" t="str">
        <f>IFERROR(__xludf.DUMMYFUNCTION("VLOOKUP(A65,IMPORTRANGE(""https://docs.google.com/spreadsheets/d/1oJmkDK37Qizzdaxn4KCwh1BMwdNWuHCx3AGH8BC9yu0/edit?gid=781951868#gid=781951868"",""キャラ!D:F""),3,false)"),"元殺し屋の新人教諭 リタ")</f>
        <v>元殺し屋の新人教諭 リタ</v>
      </c>
      <c r="C65" s="260" t="s">
        <v>269</v>
      </c>
      <c r="D65" s="261">
        <v>0.0</v>
      </c>
      <c r="E65" s="262">
        <v>0.0</v>
      </c>
      <c r="F65" s="257"/>
      <c r="G65" s="1"/>
      <c r="H65" s="206"/>
      <c r="I65" s="1"/>
    </row>
    <row r="66">
      <c r="A66" s="263" t="s">
        <v>284</v>
      </c>
      <c r="B66" s="249" t="str">
        <f>IFERROR(__xludf.DUMMYFUNCTION("VLOOKUP(A66,IMPORTRANGE(""https://docs.google.com/spreadsheets/d/1oJmkDK37Qizzdaxn4KCwh1BMwdNWuHCx3AGH8BC9yu0/edit?gid=781951868#gid=781951868"",""キャラ!D:F""),3,false)"),"&lt;黄昏&gt; ロイド")</f>
        <v>&lt;黄昏&gt; ロイド</v>
      </c>
      <c r="C66" s="255" t="s">
        <v>269</v>
      </c>
      <c r="D66" s="256">
        <f t="shared" ref="D66:D79" si="6">vlookup(C66,$A$50:$D$54,4,false)/vlookup(C66,$A$50:$D$54,3,false)</f>
        <v>55.42105263</v>
      </c>
      <c r="E66" s="252">
        <f t="shared" ref="E66:E78" si="7">IFERROR(rounddown($F$60/$C$51,5),"0%")</f>
        <v>0.00118</v>
      </c>
      <c r="F66" s="257"/>
      <c r="G66" s="1"/>
      <c r="H66" s="206"/>
      <c r="I66" s="1"/>
    </row>
    <row r="67">
      <c r="A67" s="263" t="s">
        <v>285</v>
      </c>
      <c r="B67" s="249" t="str">
        <f>IFERROR(__xludf.DUMMYFUNCTION("VLOOKUP(A67,IMPORTRANGE(""https://docs.google.com/spreadsheets/d/1oJmkDK37Qizzdaxn4KCwh1BMwdNWuHCx3AGH8BC9yu0/edit?gid=781951868#gid=781951868"",""キャラ!D:F""),3,false)"),"&lt;いばら姫&gt; ヨル")</f>
        <v>&lt;いばら姫&gt; ヨル</v>
      </c>
      <c r="C67" s="255" t="s">
        <v>269</v>
      </c>
      <c r="D67" s="256">
        <f t="shared" si="6"/>
        <v>55.42105263</v>
      </c>
      <c r="E67" s="252">
        <f t="shared" si="7"/>
        <v>0.00118</v>
      </c>
      <c r="F67" s="257"/>
      <c r="G67" s="1"/>
      <c r="H67" s="206"/>
      <c r="I67" s="1"/>
    </row>
    <row r="68">
      <c r="A68" s="263" t="s">
        <v>286</v>
      </c>
      <c r="B68" s="249" t="str">
        <f>IFERROR(__xludf.DUMMYFUNCTION("VLOOKUP(A68,IMPORTRANGE(""https://docs.google.com/spreadsheets/d/1oJmkDK37Qizzdaxn4KCwh1BMwdNWuHCx3AGH8BC9yu0/edit?gid=781951868#gid=781951868"",""キャラ!D:F""),3,false)"),"わくわく アーニャ")</f>
        <v>わくわく アーニャ</v>
      </c>
      <c r="C68" s="255" t="s">
        <v>269</v>
      </c>
      <c r="D68" s="256">
        <f t="shared" si="6"/>
        <v>55.42105263</v>
      </c>
      <c r="E68" s="252">
        <f t="shared" si="7"/>
        <v>0.00118</v>
      </c>
      <c r="F68" s="257"/>
      <c r="G68" s="1"/>
      <c r="H68" s="206"/>
      <c r="I68" s="1"/>
    </row>
    <row r="69">
      <c r="A69" s="263" t="s">
        <v>287</v>
      </c>
      <c r="B69" s="249" t="str">
        <f>IFERROR(__xludf.DUMMYFUNCTION("VLOOKUP(A69,IMPORTRANGE(""https://docs.google.com/spreadsheets/d/1oJmkDK37Qizzdaxn4KCwh1BMwdNWuHCx3AGH8BC9yu0/edit?gid=781951868#gid=781951868"",""キャラ!D:F""),3,false)"),"ターボババアの霊力 オカルン")</f>
        <v>ターボババアの霊力 オカルン</v>
      </c>
      <c r="C69" s="255" t="s">
        <v>269</v>
      </c>
      <c r="D69" s="256">
        <f t="shared" si="6"/>
        <v>55.42105263</v>
      </c>
      <c r="E69" s="252">
        <f t="shared" si="7"/>
        <v>0.00118</v>
      </c>
      <c r="F69" s="257"/>
      <c r="G69" s="1"/>
      <c r="H69" s="206"/>
      <c r="I69" s="1"/>
    </row>
    <row r="70">
      <c r="A70" s="263" t="s">
        <v>288</v>
      </c>
      <c r="B70" s="249" t="str">
        <f>IFERROR(__xludf.DUMMYFUNCTION("VLOOKUP(A70,IMPORTRANGE(""https://docs.google.com/spreadsheets/d/1oJmkDK37Qizzdaxn4KCwh1BMwdNWuHCx3AGH8BC9yu0/edit?gid=781951868#gid=781951868"",""キャラ!D:F""),3,false)"),"囚われの王女 姫様")</f>
        <v>囚われの王女 姫様</v>
      </c>
      <c r="C70" s="255" t="s">
        <v>269</v>
      </c>
      <c r="D70" s="256">
        <f t="shared" si="6"/>
        <v>55.42105263</v>
      </c>
      <c r="E70" s="252">
        <f t="shared" si="7"/>
        <v>0.00118</v>
      </c>
      <c r="F70" s="257"/>
      <c r="G70" s="1"/>
      <c r="H70" s="206"/>
      <c r="I70" s="1"/>
    </row>
    <row r="71">
      <c r="A71" s="263" t="s">
        <v>289</v>
      </c>
      <c r="B71" s="249" t="str">
        <f>IFERROR(__xludf.DUMMYFUNCTION("VLOOKUP(A71,IMPORTRANGE(""https://docs.google.com/spreadsheets/d/1oJmkDK37Qizzdaxn4KCwh1BMwdNWuHCx3AGH8BC9yu0/edit?gid=781951868#gid=781951868"",""キャラ!D:F""),3,false)"),"悪魔が恐れる悪魔 チェンソーマン")</f>
        <v>悪魔が恐れる悪魔 チェンソーマン</v>
      </c>
      <c r="C71" s="255" t="s">
        <v>269</v>
      </c>
      <c r="D71" s="256">
        <f t="shared" si="6"/>
        <v>55.42105263</v>
      </c>
      <c r="E71" s="252">
        <f t="shared" si="7"/>
        <v>0.00118</v>
      </c>
      <c r="F71" s="257"/>
      <c r="G71" s="1"/>
      <c r="H71" s="206"/>
      <c r="I71" s="1"/>
    </row>
    <row r="72">
      <c r="A72" s="263" t="s">
        <v>290</v>
      </c>
      <c r="B72" s="249" t="str">
        <f>IFERROR(__xludf.DUMMYFUNCTION("VLOOKUP(A72,IMPORTRANGE(""https://docs.google.com/spreadsheets/d/1oJmkDK37Qizzdaxn4KCwh1BMwdNWuHCx3AGH8BC9yu0/edit?gid=781951868#gid=781951868"",""キャラ!D:F""),3,false)"),"隠された英雄の姿 怪獣８号")</f>
        <v>隠された英雄の姿 怪獣８号</v>
      </c>
      <c r="C72" s="255" t="s">
        <v>269</v>
      </c>
      <c r="D72" s="256">
        <f t="shared" si="6"/>
        <v>55.42105263</v>
      </c>
      <c r="E72" s="252">
        <f t="shared" si="7"/>
        <v>0.00118</v>
      </c>
      <c r="F72" s="257"/>
      <c r="G72" s="1"/>
      <c r="H72" s="206"/>
      <c r="I72" s="1"/>
    </row>
    <row r="73">
      <c r="A73" s="263" t="s">
        <v>291</v>
      </c>
      <c r="B73" s="249" t="str">
        <f>IFERROR(__xludf.DUMMYFUNCTION("VLOOKUP(A73,IMPORTRANGE(""https://docs.google.com/spreadsheets/d/1oJmkDK37Qizzdaxn4KCwh1BMwdNWuHCx3AGH8BC9yu0/edit?gid=781951868#gid=781951868"",""キャラ!D:F""),3,false)"),"リリエルに捧ぐ愛 天乃 リリサ")</f>
        <v>リリエルに捧ぐ愛 天乃 リリサ</v>
      </c>
      <c r="C73" s="255" t="s">
        <v>269</v>
      </c>
      <c r="D73" s="256">
        <f t="shared" si="6"/>
        <v>55.42105263</v>
      </c>
      <c r="E73" s="252">
        <f t="shared" si="7"/>
        <v>0.00118</v>
      </c>
      <c r="F73" s="257"/>
      <c r="G73" s="1"/>
      <c r="H73" s="206"/>
      <c r="I73" s="1"/>
    </row>
    <row r="74">
      <c r="A74" s="263" t="s">
        <v>292</v>
      </c>
      <c r="B74" s="249" t="str">
        <f>IFERROR(__xludf.DUMMYFUNCTION("VLOOKUP(A74,IMPORTRANGE(""https://docs.google.com/spreadsheets/d/1oJmkDK37Qizzdaxn4KCwh1BMwdNWuHCx3AGH8BC9yu0/edit?gid=781951868#gid=781951868"",""キャラ!D:F""),3,false)"),"コスプレに託す乙女心 橘 美花莉")</f>
        <v>コスプレに託す乙女心 橘 美花莉</v>
      </c>
      <c r="C74" s="255" t="s">
        <v>269</v>
      </c>
      <c r="D74" s="256">
        <f t="shared" si="6"/>
        <v>55.42105263</v>
      </c>
      <c r="E74" s="252">
        <f t="shared" si="7"/>
        <v>0.00118</v>
      </c>
      <c r="F74" s="257"/>
      <c r="G74" s="1"/>
      <c r="H74" s="206"/>
      <c r="I74" s="1"/>
    </row>
    <row r="75">
      <c r="A75" s="263" t="s">
        <v>293</v>
      </c>
      <c r="B75" s="249" t="str">
        <f>IFERROR(__xludf.DUMMYFUNCTION("VLOOKUP(A75,IMPORTRANGE(""https://docs.google.com/spreadsheets/d/1oJmkDK37Qizzdaxn4KCwh1BMwdNWuHCx3AGH8BC9yu0/edit?gid=781951868#gid=781951868"",""キャラ!D:F""),3,false)"),"誇り高き魔都の剣姫 羽前 京香")</f>
        <v>誇り高き魔都の剣姫 羽前 京香</v>
      </c>
      <c r="C75" s="255" t="s">
        <v>269</v>
      </c>
      <c r="D75" s="256">
        <f t="shared" si="6"/>
        <v>55.42105263</v>
      </c>
      <c r="E75" s="252">
        <f t="shared" si="7"/>
        <v>0.00118</v>
      </c>
      <c r="F75" s="257"/>
      <c r="G75" s="1"/>
      <c r="H75" s="206"/>
      <c r="I75" s="1"/>
    </row>
    <row r="76">
      <c r="A76" s="263" t="s">
        <v>294</v>
      </c>
      <c r="B76" s="249" t="str">
        <f>IFERROR(__xludf.DUMMYFUNCTION("VLOOKUP(A76,IMPORTRANGE(""https://docs.google.com/spreadsheets/d/1oJmkDK37Qizzdaxn4KCwh1BMwdNWuHCx3AGH8BC9yu0/edit?gid=781951868#gid=781951868"",""キャラ!D:F""),3,false)"),"がらんの画眉丸")</f>
        <v>がらんの画眉丸</v>
      </c>
      <c r="C76" s="255" t="s">
        <v>269</v>
      </c>
      <c r="D76" s="256">
        <f t="shared" si="6"/>
        <v>55.42105263</v>
      </c>
      <c r="E76" s="252">
        <f t="shared" si="7"/>
        <v>0.00118</v>
      </c>
      <c r="F76" s="257"/>
      <c r="G76" s="1"/>
      <c r="H76" s="206"/>
      <c r="I76" s="1"/>
    </row>
    <row r="77">
      <c r="A77" s="263" t="s">
        <v>295</v>
      </c>
      <c r="B77" s="249" t="str">
        <f>IFERROR(__xludf.DUMMYFUNCTION("VLOOKUP(A77,IMPORTRANGE(""https://docs.google.com/spreadsheets/d/1oJmkDK37Qizzdaxn4KCwh1BMwdNWuHCx3AGH8BC9yu0/edit?gid=781951868#gid=781951868"",""キャラ!D:F""),3,false)"),"新人魔法少女 桜木 カナ")</f>
        <v>新人魔法少女 桜木 カナ</v>
      </c>
      <c r="C77" s="255" t="s">
        <v>269</v>
      </c>
      <c r="D77" s="256">
        <f t="shared" si="6"/>
        <v>55.42105263</v>
      </c>
      <c r="E77" s="252">
        <f t="shared" si="7"/>
        <v>0.00118</v>
      </c>
      <c r="F77" s="257"/>
      <c r="G77" s="1"/>
      <c r="H77" s="206"/>
      <c r="I77" s="1"/>
    </row>
    <row r="78">
      <c r="A78" s="263" t="s">
        <v>296</v>
      </c>
      <c r="B78" s="249" t="str">
        <f>IFERROR(__xludf.DUMMYFUNCTION("VLOOKUP(A78,IMPORTRANGE(""https://docs.google.com/spreadsheets/d/1oJmkDK37Qizzdaxn4KCwh1BMwdNWuHCx3AGH8BC9yu0/edit?gid=781951868#gid=781951868"",""キャラ!D:F""),3,false)"),"影のウシオ 小舟 潮")</f>
        <v>影のウシオ 小舟 潮</v>
      </c>
      <c r="C78" s="255" t="s">
        <v>269</v>
      </c>
      <c r="D78" s="256">
        <f t="shared" si="6"/>
        <v>55.42105263</v>
      </c>
      <c r="E78" s="252">
        <f t="shared" si="7"/>
        <v>0.00118</v>
      </c>
      <c r="F78" s="264"/>
      <c r="G78" s="1"/>
      <c r="H78" s="206"/>
      <c r="I78" s="1"/>
    </row>
    <row r="79">
      <c r="A79" s="254" t="s">
        <v>297</v>
      </c>
      <c r="B79" s="249" t="str">
        <f>IFERROR(__xludf.DUMMYFUNCTION("VLOOKUP(A79,IMPORTRANGE(""https://docs.google.com/spreadsheets/d/1oJmkDK37Qizzdaxn4KCwh1BMwdNWuHCx3AGH8BC9yu0/edit?gid=781951868#gid=781951868"",""キャラ!D:F""),3,false)"),"保科 宗四郎")</f>
        <v>保科 宗四郎</v>
      </c>
      <c r="C79" s="265" t="s">
        <v>270</v>
      </c>
      <c r="D79" s="256">
        <f t="shared" si="6"/>
        <v>292.5</v>
      </c>
      <c r="E79" s="252">
        <f>IFERROR(rounddown($F$79/$C$52,5),"0%")</f>
        <v>0.00625</v>
      </c>
      <c r="F79" s="267">
        <v>0.1</v>
      </c>
      <c r="G79" s="1"/>
      <c r="H79" s="206"/>
      <c r="I79" s="1"/>
    </row>
    <row r="80">
      <c r="A80" s="258" t="s">
        <v>298</v>
      </c>
      <c r="B80" s="259" t="str">
        <f>IFERROR(__xludf.DUMMYFUNCTION("VLOOKUP(A80,IMPORTRANGE(""https://docs.google.com/spreadsheets/d/1oJmkDK37Qizzdaxn4KCwh1BMwdNWuHCx3AGH8BC9yu0/edit?gid=781951868#gid=781951868"",""キャラ!D:F""),3,false)"),"星野 ルビー")</f>
        <v>星野 ルビー</v>
      </c>
      <c r="C80" s="260" t="s">
        <v>270</v>
      </c>
      <c r="D80" s="261">
        <v>0.0</v>
      </c>
      <c r="E80" s="262">
        <v>0.0</v>
      </c>
      <c r="F80" s="257"/>
      <c r="G80" s="1"/>
      <c r="H80" s="206"/>
      <c r="I80" s="1"/>
    </row>
    <row r="81">
      <c r="A81" s="258" t="s">
        <v>299</v>
      </c>
      <c r="B81" s="259" t="str">
        <f>IFERROR(__xludf.DUMMYFUNCTION("VLOOKUP(A81,IMPORTRANGE(""https://docs.google.com/spreadsheets/d/1oJmkDK37Qizzdaxn4KCwh1BMwdNWuHCx3AGH8BC9yu0/edit?gid=781951868#gid=781951868"",""キャラ!D:F""),3,false)"),"MEMちょ")</f>
        <v>MEMちょ</v>
      </c>
      <c r="C81" s="260" t="s">
        <v>270</v>
      </c>
      <c r="D81" s="261">
        <v>0.0</v>
      </c>
      <c r="E81" s="262">
        <v>0.0</v>
      </c>
      <c r="F81" s="257"/>
      <c r="G81" s="1"/>
      <c r="H81" s="206"/>
      <c r="I81" s="1"/>
    </row>
    <row r="82">
      <c r="A82" s="258" t="s">
        <v>300</v>
      </c>
      <c r="B82" s="259" t="str">
        <f>IFERROR(__xludf.DUMMYFUNCTION("VLOOKUP(A82,IMPORTRANGE(""https://docs.google.com/spreadsheets/d/1oJmkDK37Qizzdaxn4KCwh1BMwdNWuHCx3AGH8BC9yu0/edit?gid=781951868#gid=781951868"",""キャラ!D:F""),3,false)"),"有馬 かな")</f>
        <v>有馬 かな</v>
      </c>
      <c r="C82" s="260" t="s">
        <v>270</v>
      </c>
      <c r="D82" s="261">
        <v>0.0</v>
      </c>
      <c r="E82" s="262">
        <v>0.0</v>
      </c>
      <c r="F82" s="257"/>
      <c r="G82" s="1"/>
      <c r="H82" s="206"/>
      <c r="I82" s="1"/>
    </row>
    <row r="83">
      <c r="A83" s="258" t="s">
        <v>301</v>
      </c>
      <c r="B83" s="259" t="str">
        <f>IFERROR(__xludf.DUMMYFUNCTION("VLOOKUP(A83,IMPORTRANGE(""https://docs.google.com/spreadsheets/d/1oJmkDK37Qizzdaxn4KCwh1BMwdNWuHCx3AGH8BC9yu0/edit?gid=781951868#gid=781951868"",""キャラ!D:F""),3,false)"),"黒川 あかね")</f>
        <v>黒川 あかね</v>
      </c>
      <c r="C83" s="260" t="s">
        <v>270</v>
      </c>
      <c r="D83" s="261">
        <v>0.0</v>
      </c>
      <c r="E83" s="262">
        <v>0.0</v>
      </c>
      <c r="F83" s="257"/>
      <c r="G83" s="1"/>
      <c r="H83" s="206"/>
      <c r="I83" s="1"/>
    </row>
    <row r="84">
      <c r="A84" s="258" t="s">
        <v>302</v>
      </c>
      <c r="B84" s="259" t="str">
        <f>IFERROR(__xludf.DUMMYFUNCTION("VLOOKUP(A84,IMPORTRANGE(""https://docs.google.com/spreadsheets/d/1oJmkDK37Qizzdaxn4KCwh1BMwdNWuHCx3AGH8BC9yu0/edit?gid=781951868#gid=781951868"",""キャラ!D:F""),3,false)"),"山田浅ェ門 桐馬")</f>
        <v>山田浅ェ門 桐馬</v>
      </c>
      <c r="C84" s="260" t="s">
        <v>270</v>
      </c>
      <c r="D84" s="261">
        <v>0.0</v>
      </c>
      <c r="E84" s="262">
        <v>0.0</v>
      </c>
      <c r="F84" s="257"/>
      <c r="G84" s="1"/>
      <c r="H84" s="206"/>
      <c r="I84" s="1"/>
    </row>
    <row r="85">
      <c r="A85" s="258" t="s">
        <v>303</v>
      </c>
      <c r="B85" s="259" t="str">
        <f>IFERROR(__xludf.DUMMYFUNCTION("VLOOKUP(A85,IMPORTRANGE(""https://docs.google.com/spreadsheets/d/1oJmkDK37Qizzdaxn4KCwh1BMwdNWuHCx3AGH8BC9yu0/edit?gid=781951868#gid=781951868"",""キャラ!D:F""),3,false)"),"ルーク")</f>
        <v>ルーク</v>
      </c>
      <c r="C85" s="260" t="s">
        <v>270</v>
      </c>
      <c r="D85" s="261">
        <v>0.0</v>
      </c>
      <c r="E85" s="262">
        <v>0.0</v>
      </c>
      <c r="F85" s="257"/>
      <c r="G85" s="1"/>
      <c r="H85" s="206"/>
      <c r="I85" s="1"/>
    </row>
    <row r="86">
      <c r="A86" s="263" t="s">
        <v>304</v>
      </c>
      <c r="B86" s="249" t="str">
        <f>IFERROR(__xludf.DUMMYFUNCTION("VLOOKUP(A86,IMPORTRANGE(""https://docs.google.com/spreadsheets/d/1oJmkDK37Qizzdaxn4KCwh1BMwdNWuHCx3AGH8BC9yu0/edit?gid=781951868#gid=781951868"",""キャラ!D:F""),3,false)"),"モモ")</f>
        <v>モモ</v>
      </c>
      <c r="C86" s="265" t="s">
        <v>270</v>
      </c>
      <c r="D86" s="256">
        <f t="shared" ref="D86:D113" si="8">vlookup(C86,$A$50:$D$54,4,false)/vlookup(C86,$A$50:$D$54,3,false)</f>
        <v>292.5</v>
      </c>
      <c r="E86" s="252">
        <f t="shared" ref="E86:E94" si="9">IFERROR(rounddown($F$79/$C$52,5),"0%")</f>
        <v>0.00625</v>
      </c>
      <c r="F86" s="257"/>
      <c r="G86" s="1"/>
      <c r="H86" s="206"/>
      <c r="I86" s="1"/>
    </row>
    <row r="87">
      <c r="A87" s="263" t="s">
        <v>305</v>
      </c>
      <c r="B87" s="249" t="str">
        <f>IFERROR(__xludf.DUMMYFUNCTION("VLOOKUP(A87,IMPORTRANGE(""https://docs.google.com/spreadsheets/d/1oJmkDK37Qizzdaxn4KCwh1BMwdNWuHCx3AGH8BC9yu0/edit?gid=781951868#gid=781951868"",""キャラ!D:F""),3,false)"),"早川 アキ")</f>
        <v>早川 アキ</v>
      </c>
      <c r="C87" s="265" t="s">
        <v>270</v>
      </c>
      <c r="D87" s="256">
        <f t="shared" si="8"/>
        <v>292.5</v>
      </c>
      <c r="E87" s="252">
        <f t="shared" si="9"/>
        <v>0.00625</v>
      </c>
      <c r="F87" s="257"/>
      <c r="G87" s="1"/>
      <c r="H87" s="206"/>
      <c r="I87" s="1"/>
    </row>
    <row r="88">
      <c r="A88" s="263" t="s">
        <v>306</v>
      </c>
      <c r="B88" s="249" t="str">
        <f>IFERROR(__xludf.DUMMYFUNCTION("VLOOKUP(A88,IMPORTRANGE(""https://docs.google.com/spreadsheets/d/1oJmkDK37Qizzdaxn4KCwh1BMwdNWuHCx3AGH8BC9yu0/edit?gid=781951868#gid=781951868"",""キャラ!D:F""),3,false)"),"パワー")</f>
        <v>パワー</v>
      </c>
      <c r="C88" s="265" t="s">
        <v>270</v>
      </c>
      <c r="D88" s="256">
        <f t="shared" si="8"/>
        <v>292.5</v>
      </c>
      <c r="E88" s="252">
        <f t="shared" si="9"/>
        <v>0.00625</v>
      </c>
      <c r="F88" s="257"/>
      <c r="G88" s="1"/>
      <c r="H88" s="206"/>
      <c r="I88" s="1"/>
    </row>
    <row r="89">
      <c r="A89" s="263" t="s">
        <v>307</v>
      </c>
      <c r="B89" s="249" t="str">
        <f>IFERROR(__xludf.DUMMYFUNCTION("VLOOKUP(A89,IMPORTRANGE(""https://docs.google.com/spreadsheets/d/1oJmkDK37Qizzdaxn4KCwh1BMwdNWuHCx3AGH8BC9yu0/edit?gid=781951868#gid=781951868"",""キャラ!D:F""),3,false)"),"四ノ宮 キコル")</f>
        <v>四ノ宮 キコル</v>
      </c>
      <c r="C89" s="265" t="s">
        <v>270</v>
      </c>
      <c r="D89" s="256">
        <f t="shared" si="8"/>
        <v>292.5</v>
      </c>
      <c r="E89" s="252">
        <f t="shared" si="9"/>
        <v>0.00625</v>
      </c>
      <c r="F89" s="257"/>
      <c r="G89" s="1"/>
      <c r="H89" s="206"/>
      <c r="I89" s="1"/>
    </row>
    <row r="90">
      <c r="A90" s="263" t="s">
        <v>308</v>
      </c>
      <c r="B90" s="249" t="str">
        <f>IFERROR(__xludf.DUMMYFUNCTION("VLOOKUP(A90,IMPORTRANGE(""https://docs.google.com/spreadsheets/d/1oJmkDK37Qizzdaxn4KCwh1BMwdNWuHCx3AGH8BC9yu0/edit?gid=781951868#gid=781951868"",""キャラ!D:F""),3,false)"),"鴨乃橋 ロン")</f>
        <v>鴨乃橋 ロン</v>
      </c>
      <c r="C90" s="265" t="s">
        <v>270</v>
      </c>
      <c r="D90" s="266">
        <f t="shared" si="8"/>
        <v>292.5</v>
      </c>
      <c r="E90" s="252">
        <f t="shared" si="9"/>
        <v>0.00625</v>
      </c>
      <c r="F90" s="257"/>
      <c r="G90" s="1"/>
      <c r="H90" s="206"/>
      <c r="I90" s="1"/>
    </row>
    <row r="91">
      <c r="A91" s="263" t="s">
        <v>309</v>
      </c>
      <c r="B91" s="249" t="str">
        <f>IFERROR(__xludf.DUMMYFUNCTION("VLOOKUP(A91,IMPORTRANGE(""https://docs.google.com/spreadsheets/d/1oJmkDK37Qizzdaxn4KCwh1BMwdNWuHCx3AGH8BC9yu0/edit?gid=781951868#gid=781951868"",""キャラ!D:F""),3,false)"),"阿波連 れいな")</f>
        <v>阿波連 れいな</v>
      </c>
      <c r="C91" s="265" t="s">
        <v>270</v>
      </c>
      <c r="D91" s="266">
        <f t="shared" si="8"/>
        <v>292.5</v>
      </c>
      <c r="E91" s="252">
        <f t="shared" si="9"/>
        <v>0.00625</v>
      </c>
      <c r="F91" s="257"/>
      <c r="G91" s="1"/>
      <c r="H91" s="206"/>
      <c r="I91" s="1"/>
    </row>
    <row r="92">
      <c r="A92" s="263" t="s">
        <v>310</v>
      </c>
      <c r="B92" s="249" t="str">
        <f>IFERROR(__xludf.DUMMYFUNCTION("VLOOKUP(A92,IMPORTRANGE(""https://docs.google.com/spreadsheets/d/1oJmkDK37Qizzdaxn4KCwh1BMwdNWuHCx3AGH8BC9yu0/edit?gid=781951868#gid=781951868"",""キャラ!D:F""),3,false)"),"山田浅ェ門 佐切")</f>
        <v>山田浅ェ門 佐切</v>
      </c>
      <c r="C92" s="265" t="s">
        <v>270</v>
      </c>
      <c r="D92" s="266">
        <f t="shared" si="8"/>
        <v>292.5</v>
      </c>
      <c r="E92" s="252">
        <f t="shared" si="9"/>
        <v>0.00625</v>
      </c>
      <c r="F92" s="257"/>
      <c r="G92" s="1"/>
      <c r="H92" s="206"/>
      <c r="I92" s="1"/>
    </row>
    <row r="93">
      <c r="A93" s="263" t="s">
        <v>311</v>
      </c>
      <c r="B93" s="249" t="str">
        <f>IFERROR(__xludf.DUMMYFUNCTION("VLOOKUP(A93,IMPORTRANGE(""https://docs.google.com/spreadsheets/d/1oJmkDK37Qizzdaxn4KCwh1BMwdNWuHCx3AGH8BC9yu0/edit?gid=781951868#gid=781951868"",""キャラ!D:F""),3,false)"),"冬木 美波")</f>
        <v>冬木 美波</v>
      </c>
      <c r="C93" s="265" t="s">
        <v>270</v>
      </c>
      <c r="D93" s="266">
        <f t="shared" si="8"/>
        <v>292.5</v>
      </c>
      <c r="E93" s="252">
        <f t="shared" si="9"/>
        <v>0.00625</v>
      </c>
      <c r="F93" s="257"/>
      <c r="G93" s="1"/>
      <c r="H93" s="206"/>
      <c r="I93" s="1"/>
    </row>
    <row r="94">
      <c r="A94" s="263" t="s">
        <v>312</v>
      </c>
      <c r="B94" s="249" t="str">
        <f>IFERROR(__xludf.DUMMYFUNCTION("VLOOKUP(A94,IMPORTRANGE(""https://docs.google.com/spreadsheets/d/1oJmkDK37Qizzdaxn4KCwh1BMwdNWuHCx3AGH8BC9yu0/edit?gid=781951868#gid=781951868"",""キャラ!D:F""),3,false)"),"秋野 沙友理")</f>
        <v>秋野 沙友理</v>
      </c>
      <c r="C94" s="265" t="s">
        <v>270</v>
      </c>
      <c r="D94" s="266">
        <f t="shared" si="8"/>
        <v>292.5</v>
      </c>
      <c r="E94" s="252">
        <f t="shared" si="9"/>
        <v>0.00625</v>
      </c>
      <c r="F94" s="257"/>
      <c r="G94" s="68"/>
      <c r="H94" s="206"/>
      <c r="I94" s="1"/>
    </row>
    <row r="95">
      <c r="A95" s="263" t="s">
        <v>313</v>
      </c>
      <c r="B95" s="249" t="str">
        <f>IFERROR(__xludf.DUMMYFUNCTION("VLOOKUP(A95,IMPORTRANGE(""https://docs.google.com/spreadsheets/d/1oJmkDK37Qizzdaxn4KCwh1BMwdNWuHCx3AGH8BC9yu0/edit?gid=781951868#gid=781951868"",""キャラ!D:F""),3,false)"),"トーチャー・トルチュール")</f>
        <v>トーチャー・トルチュール</v>
      </c>
      <c r="C95" s="268" t="s">
        <v>271</v>
      </c>
      <c r="D95" s="266">
        <f t="shared" si="8"/>
        <v>1638</v>
      </c>
      <c r="E95" s="252">
        <f t="shared" ref="E95:E104" si="10">IFERROR(rounddown($F$95/$C$53,5),"0%")</f>
        <v>0.035</v>
      </c>
      <c r="F95" s="253">
        <v>0.35</v>
      </c>
      <c r="G95" s="1"/>
      <c r="H95" s="206"/>
      <c r="I95" s="1"/>
    </row>
    <row r="96">
      <c r="A96" s="263" t="s">
        <v>314</v>
      </c>
      <c r="B96" s="249" t="str">
        <f>IFERROR(__xludf.DUMMYFUNCTION("VLOOKUP(A96,IMPORTRANGE(""https://docs.google.com/spreadsheets/d/1oJmkDK37Qizzdaxn4KCwh1BMwdNWuHCx3AGH8BC9yu0/edit?gid=781951868#gid=781951868"",""キャラ!D:F""),3,false)"),"清峰 葉流火")</f>
        <v>清峰 葉流火</v>
      </c>
      <c r="C96" s="268" t="s">
        <v>271</v>
      </c>
      <c r="D96" s="266">
        <f t="shared" si="8"/>
        <v>1638</v>
      </c>
      <c r="E96" s="252">
        <f t="shared" si="10"/>
        <v>0.035</v>
      </c>
      <c r="F96" s="257"/>
      <c r="G96" s="1"/>
      <c r="H96" s="206"/>
      <c r="I96" s="1"/>
    </row>
    <row r="97">
      <c r="A97" s="263" t="s">
        <v>315</v>
      </c>
      <c r="B97" s="249" t="str">
        <f>IFERROR(__xludf.DUMMYFUNCTION("VLOOKUP(A97,IMPORTRANGE(""https://docs.google.com/spreadsheets/d/1oJmkDK37Qizzdaxn4KCwh1BMwdNWuHCx3AGH8BC9yu0/edit?gid=781951868#gid=781951868"",""キャラ!D:F""),3,false)"),"要 圭")</f>
        <v>要 圭</v>
      </c>
      <c r="C97" s="268" t="s">
        <v>271</v>
      </c>
      <c r="D97" s="266">
        <f t="shared" si="8"/>
        <v>1638</v>
      </c>
      <c r="E97" s="252">
        <f t="shared" si="10"/>
        <v>0.035</v>
      </c>
      <c r="F97" s="257"/>
      <c r="G97" s="1"/>
      <c r="H97" s="206"/>
      <c r="I97" s="1"/>
    </row>
    <row r="98">
      <c r="A98" s="263" t="s">
        <v>316</v>
      </c>
      <c r="B98" s="249" t="str">
        <f>IFERROR(__xludf.DUMMYFUNCTION("VLOOKUP(A98,IMPORTRANGE(""https://docs.google.com/spreadsheets/d/1oJmkDK37Qizzdaxn4KCwh1BMwdNWuHCx3AGH8BC9yu0/edit?gid=781951868#gid=781951868"",""キャラ!D:F""),3,false)"),"市川 レノ")</f>
        <v>市川 レノ</v>
      </c>
      <c r="C98" s="268" t="s">
        <v>271</v>
      </c>
      <c r="D98" s="266">
        <f t="shared" si="8"/>
        <v>1638</v>
      </c>
      <c r="E98" s="252">
        <f t="shared" si="10"/>
        <v>0.035</v>
      </c>
      <c r="F98" s="257"/>
      <c r="G98" s="1"/>
      <c r="H98" s="206"/>
      <c r="I98" s="1"/>
    </row>
    <row r="99">
      <c r="A99" s="263" t="s">
        <v>317</v>
      </c>
      <c r="B99" s="249" t="str">
        <f>IFERROR(__xludf.DUMMYFUNCTION("VLOOKUP(A99,IMPORTRANGE(""https://docs.google.com/spreadsheets/d/1oJmkDK37Qizzdaxn4KCwh1BMwdNWuHCx3AGH8BC9yu0/edit?gid=781951868#gid=781951868"",""キャラ!D:F""),3,false)"),"東 日万凛")</f>
        <v>東 日万凛</v>
      </c>
      <c r="C99" s="268" t="s">
        <v>271</v>
      </c>
      <c r="D99" s="266">
        <f t="shared" si="8"/>
        <v>1638</v>
      </c>
      <c r="E99" s="252">
        <f t="shared" si="10"/>
        <v>0.035</v>
      </c>
      <c r="F99" s="257"/>
      <c r="G99" s="1"/>
      <c r="H99" s="206"/>
      <c r="I99" s="1"/>
    </row>
    <row r="100">
      <c r="A100" s="263" t="s">
        <v>318</v>
      </c>
      <c r="B100" s="249" t="str">
        <f>IFERROR(__xludf.DUMMYFUNCTION("VLOOKUP(A100,IMPORTRANGE(""https://docs.google.com/spreadsheets/d/1oJmkDK37Qizzdaxn4KCwh1BMwdNWuHCx3AGH8BC9yu0/edit?gid=781951868#gid=781951868"",""キャラ!D:F""),3,false)"),"駿河 朱々")</f>
        <v>駿河 朱々</v>
      </c>
      <c r="C100" s="268" t="s">
        <v>271</v>
      </c>
      <c r="D100" s="266">
        <f t="shared" si="8"/>
        <v>1638</v>
      </c>
      <c r="E100" s="252">
        <f t="shared" si="10"/>
        <v>0.035</v>
      </c>
      <c r="F100" s="257"/>
      <c r="G100" s="1"/>
      <c r="H100" s="206"/>
      <c r="I100" s="1"/>
    </row>
    <row r="101">
      <c r="A101" s="263" t="s">
        <v>319</v>
      </c>
      <c r="B101" s="249" t="str">
        <f>IFERROR(__xludf.DUMMYFUNCTION("VLOOKUP(A101,IMPORTRANGE(""https://docs.google.com/spreadsheets/d/1oJmkDK37Qizzdaxn4KCwh1BMwdNWuHCx3AGH8BC9yu0/edit?gid=781951868#gid=781951868"",""キャラ!D:F""),3,false)"),"ライドウ")</f>
        <v>ライドウ</v>
      </c>
      <c r="C101" s="268" t="s">
        <v>271</v>
      </c>
      <c r="D101" s="266">
        <f t="shared" si="8"/>
        <v>1638</v>
      </c>
      <c r="E101" s="252">
        <f t="shared" si="10"/>
        <v>0.035</v>
      </c>
      <c r="F101" s="257"/>
      <c r="G101" s="1"/>
      <c r="H101" s="206"/>
      <c r="I101" s="1"/>
    </row>
    <row r="102">
      <c r="A102" s="263" t="s">
        <v>320</v>
      </c>
      <c r="B102" s="249" t="str">
        <f>IFERROR(__xludf.DUMMYFUNCTION("VLOOKUP(A102,IMPORTRANGE(""https://docs.google.com/spreadsheets/d/1oJmkDK37Qizzdaxn4KCwh1BMwdNWuHCx3AGH8BC9yu0/edit?gid=781951868#gid=781951868"",""キャラ!D:F""),3,false)"),"山田浅ェ門 仙汰")</f>
        <v>山田浅ェ門 仙汰</v>
      </c>
      <c r="C102" s="268" t="s">
        <v>271</v>
      </c>
      <c r="D102" s="266">
        <f t="shared" si="8"/>
        <v>1638</v>
      </c>
      <c r="E102" s="252">
        <f t="shared" si="10"/>
        <v>0.035</v>
      </c>
      <c r="F102" s="257"/>
      <c r="G102" s="1"/>
      <c r="H102" s="206"/>
      <c r="I102" s="1"/>
    </row>
    <row r="103">
      <c r="A103" s="263" t="s">
        <v>321</v>
      </c>
      <c r="B103" s="249" t="str">
        <f>IFERROR(__xludf.DUMMYFUNCTION("VLOOKUP(A103,IMPORTRANGE(""https://docs.google.com/spreadsheets/d/1oJmkDK37Qizzdaxn4KCwh1BMwdNWuHCx3AGH8BC9yu0/edit?gid=781951868#gid=781951868"",""キャラ!D:F""),3,false)"),"越谷 仁美")</f>
        <v>越谷 仁美</v>
      </c>
      <c r="C103" s="268" t="s">
        <v>271</v>
      </c>
      <c r="D103" s="266">
        <f t="shared" si="8"/>
        <v>1638</v>
      </c>
      <c r="E103" s="252">
        <f t="shared" si="10"/>
        <v>0.035</v>
      </c>
      <c r="F103" s="257"/>
      <c r="G103" s="1"/>
      <c r="H103" s="206"/>
      <c r="I103" s="1"/>
    </row>
    <row r="104">
      <c r="A104" s="263" t="s">
        <v>322</v>
      </c>
      <c r="B104" s="249" t="str">
        <f>IFERROR(__xludf.DUMMYFUNCTION("VLOOKUP(A104,IMPORTRANGE(""https://docs.google.com/spreadsheets/d/1oJmkDK37Qizzdaxn4KCwh1BMwdNWuHCx3AGH8BC9yu0/edit?gid=781951868#gid=781951868"",""キャラ!D:F""),3,false)"),"小舟 澪")</f>
        <v>小舟 澪</v>
      </c>
      <c r="C104" s="268" t="s">
        <v>271</v>
      </c>
      <c r="D104" s="266">
        <f t="shared" si="8"/>
        <v>1638</v>
      </c>
      <c r="E104" s="252">
        <f t="shared" si="10"/>
        <v>0.035</v>
      </c>
      <c r="F104" s="257"/>
      <c r="G104" s="1"/>
      <c r="H104" s="206"/>
      <c r="I104" s="1"/>
    </row>
    <row r="105">
      <c r="A105" s="263" t="s">
        <v>323</v>
      </c>
      <c r="B105" s="249" t="str">
        <f>IFERROR(__xludf.DUMMYFUNCTION("VLOOKUP(A105,IMPORTRANGE(""https://docs.google.com/spreadsheets/d/1oJmkDK37Qizzdaxn4KCwh1BMwdNWuHCx3AGH8BC9yu0/edit?gid=781951868#gid=781951868"",""キャラ!D:F""),3,false)"),"佐々木")</f>
        <v>佐々木</v>
      </c>
      <c r="C105" s="269" t="s">
        <v>272</v>
      </c>
      <c r="D105" s="266">
        <f t="shared" si="8"/>
        <v>2704</v>
      </c>
      <c r="E105" s="252">
        <f t="shared" ref="E105:E113" si="11">IFERROR(rounddown($F$105/$C$54,5),"0%")</f>
        <v>0.05777</v>
      </c>
      <c r="F105" s="253">
        <v>0.52</v>
      </c>
      <c r="G105" s="1"/>
      <c r="H105" s="206"/>
      <c r="I105" s="1"/>
    </row>
    <row r="106">
      <c r="A106" s="263" t="s">
        <v>324</v>
      </c>
      <c r="B106" s="249" t="str">
        <f>IFERROR(__xludf.DUMMYFUNCTION("VLOOKUP(A106,IMPORTRANGE(""https://docs.google.com/spreadsheets/d/1oJmkDK37Qizzdaxn4KCwh1BMwdNWuHCx3AGH8BC9yu0/edit?gid=781951868#gid=781951868"",""キャラ!D:F""),3,false)"),"文蔵")</f>
        <v>文蔵</v>
      </c>
      <c r="C106" s="269" t="s">
        <v>272</v>
      </c>
      <c r="D106" s="266">
        <f t="shared" si="8"/>
        <v>2704</v>
      </c>
      <c r="E106" s="252">
        <f t="shared" si="11"/>
        <v>0.05777</v>
      </c>
      <c r="F106" s="257"/>
      <c r="G106" s="1"/>
      <c r="H106" s="206"/>
      <c r="I106" s="1"/>
    </row>
    <row r="107">
      <c r="A107" s="263" t="s">
        <v>325</v>
      </c>
      <c r="B107" s="249" t="str">
        <f>IFERROR(__xludf.DUMMYFUNCTION("VLOOKUP(A107,IMPORTRANGE(""https://docs.google.com/spreadsheets/d/1oJmkDK37Qizzdaxn4KCwh1BMwdNWuHCx3AGH8BC9yu0/edit?gid=781951868#gid=781951868"",""キャラ!D:F""),3,false)"),"リコピン")</f>
        <v>リコピン</v>
      </c>
      <c r="C107" s="269" t="s">
        <v>272</v>
      </c>
      <c r="D107" s="266">
        <f t="shared" si="8"/>
        <v>2704</v>
      </c>
      <c r="E107" s="252">
        <f t="shared" si="11"/>
        <v>0.05777</v>
      </c>
      <c r="F107" s="257"/>
      <c r="G107" s="1"/>
      <c r="H107" s="206"/>
      <c r="I107" s="1"/>
    </row>
    <row r="108">
      <c r="A108" s="263" t="s">
        <v>326</v>
      </c>
      <c r="B108" s="249" t="str">
        <f>IFERROR(__xludf.DUMMYFUNCTION("VLOOKUP(A108,IMPORTRANGE(""https://docs.google.com/spreadsheets/d/1oJmkDK37Qizzdaxn4KCwh1BMwdNWuHCx3AGH8BC9yu0/edit?gid=781951868#gid=781951868"",""キャラ!D:F""),3,false)"),"一色 都々丸")</f>
        <v>一色 都々丸</v>
      </c>
      <c r="C108" s="269" t="s">
        <v>272</v>
      </c>
      <c r="D108" s="266">
        <f t="shared" si="8"/>
        <v>2704</v>
      </c>
      <c r="E108" s="252">
        <f t="shared" si="11"/>
        <v>0.05777</v>
      </c>
      <c r="F108" s="257"/>
      <c r="G108" s="1"/>
      <c r="H108" s="206"/>
      <c r="I108" s="1"/>
    </row>
    <row r="109">
      <c r="A109" s="263" t="s">
        <v>327</v>
      </c>
      <c r="B109" s="249" t="str">
        <f>IFERROR(__xludf.DUMMYFUNCTION("VLOOKUP(A109,IMPORTRANGE(""https://docs.google.com/spreadsheets/d/1oJmkDK37Qizzdaxn4KCwh1BMwdNWuHCx3AGH8BC9yu0/edit?gid=781951868#gid=781951868"",""キャラ!D:F""),3,false)"),"オカルン")</f>
        <v>オカルン</v>
      </c>
      <c r="C109" s="269" t="s">
        <v>272</v>
      </c>
      <c r="D109" s="266">
        <f t="shared" si="8"/>
        <v>2704</v>
      </c>
      <c r="E109" s="252">
        <f t="shared" si="11"/>
        <v>0.05777</v>
      </c>
      <c r="F109" s="257"/>
      <c r="G109" s="1"/>
      <c r="H109" s="206"/>
      <c r="I109" s="1"/>
    </row>
    <row r="110">
      <c r="A110" s="263" t="s">
        <v>328</v>
      </c>
      <c r="B110" s="249" t="str">
        <f>IFERROR(__xludf.DUMMYFUNCTION("VLOOKUP(A110,IMPORTRANGE(""https://docs.google.com/spreadsheets/d/1oJmkDK37Qizzdaxn4KCwh1BMwdNWuHCx3AGH8BC9yu0/edit?gid=781951868#gid=781951868"",""キャラ!D:F""),3,false)"),"デンジ")</f>
        <v>デンジ</v>
      </c>
      <c r="C110" s="269" t="s">
        <v>272</v>
      </c>
      <c r="D110" s="266">
        <f t="shared" si="8"/>
        <v>2704</v>
      </c>
      <c r="E110" s="252">
        <f t="shared" si="11"/>
        <v>0.05777</v>
      </c>
      <c r="F110" s="257"/>
      <c r="G110" s="1"/>
      <c r="H110" s="206"/>
      <c r="I110" s="1"/>
    </row>
    <row r="111">
      <c r="A111" s="263" t="s">
        <v>329</v>
      </c>
      <c r="B111" s="249" t="str">
        <f>IFERROR(__xludf.DUMMYFUNCTION("VLOOKUP(A111,IMPORTRANGE(""https://docs.google.com/spreadsheets/d/1oJmkDK37Qizzdaxn4KCwh1BMwdNWuHCx3AGH8BC9yu0/edit?gid=781951868#gid=781951868"",""キャラ!D:F""),3,false)"),"日比野 カフカ")</f>
        <v>日比野 カフカ</v>
      </c>
      <c r="C111" s="269" t="s">
        <v>272</v>
      </c>
      <c r="D111" s="266">
        <f t="shared" si="8"/>
        <v>2704</v>
      </c>
      <c r="E111" s="252">
        <f t="shared" si="11"/>
        <v>0.05777</v>
      </c>
      <c r="F111" s="257"/>
      <c r="G111" s="1"/>
      <c r="H111" s="206"/>
      <c r="I111" s="1"/>
    </row>
    <row r="112">
      <c r="A112" s="263" t="s">
        <v>330</v>
      </c>
      <c r="B112" s="249" t="str">
        <f>IFERROR(__xludf.DUMMYFUNCTION("VLOOKUP(A112,IMPORTRANGE(""https://docs.google.com/spreadsheets/d/1oJmkDK37Qizzdaxn4KCwh1BMwdNWuHCx3AGH8BC9yu0/edit?gid=781951868#gid=781951868"",""キャラ!D:F""),3,false)"),"和倉 優希")</f>
        <v>和倉 優希</v>
      </c>
      <c r="C112" s="269" t="s">
        <v>272</v>
      </c>
      <c r="D112" s="266">
        <f t="shared" si="8"/>
        <v>2704</v>
      </c>
      <c r="E112" s="252">
        <f t="shared" si="11"/>
        <v>0.05777</v>
      </c>
      <c r="F112" s="257"/>
      <c r="G112" s="1"/>
      <c r="H112" s="206"/>
      <c r="I112" s="1"/>
    </row>
    <row r="113">
      <c r="A113" s="263" t="s">
        <v>331</v>
      </c>
      <c r="B113" s="249" t="str">
        <f>IFERROR(__xludf.DUMMYFUNCTION("VLOOKUP(A113,IMPORTRANGE(""https://docs.google.com/spreadsheets/d/1oJmkDK37Qizzdaxn4KCwh1BMwdNWuHCx3AGH8BC9yu0/edit?gid=781951868#gid=781951868"",""キャラ!D:F""),3,false)"),"網代 慎平")</f>
        <v>網代 慎平</v>
      </c>
      <c r="C113" s="269" t="s">
        <v>272</v>
      </c>
      <c r="D113" s="266">
        <f t="shared" si="8"/>
        <v>2704</v>
      </c>
      <c r="E113" s="252">
        <f t="shared" si="11"/>
        <v>0.05777</v>
      </c>
      <c r="F113" s="264"/>
      <c r="G113" s="1"/>
      <c r="H113" s="1"/>
      <c r="I113" s="1"/>
    </row>
    <row r="114">
      <c r="A114" s="68"/>
      <c r="B114" s="68"/>
      <c r="C114" s="68"/>
      <c r="D114" s="1"/>
      <c r="E114" s="270">
        <f t="shared" ref="E114:F114" si="12">sum(E59:E113)</f>
        <v>0.95881</v>
      </c>
      <c r="F114" s="271">
        <f t="shared" si="12"/>
        <v>1</v>
      </c>
      <c r="G114" s="1"/>
      <c r="H114" s="1"/>
      <c r="I114" s="1"/>
    </row>
    <row r="115">
      <c r="A115" s="68"/>
      <c r="B115" s="68"/>
      <c r="C115" s="68"/>
      <c r="D115" s="1"/>
      <c r="E115" s="130"/>
      <c r="F115" s="272"/>
      <c r="G115" s="1"/>
      <c r="H115" s="1"/>
      <c r="I115" s="1"/>
    </row>
    <row r="116">
      <c r="A116" s="273" t="s">
        <v>332</v>
      </c>
      <c r="B116" s="203"/>
      <c r="C116" s="203"/>
      <c r="D116" s="204"/>
      <c r="E116" s="274"/>
      <c r="F116" s="275"/>
      <c r="G116" s="204"/>
      <c r="H116" s="205"/>
      <c r="I116" s="1"/>
    </row>
    <row r="117">
      <c r="A117" s="68"/>
      <c r="B117" s="68"/>
      <c r="C117" s="68"/>
      <c r="D117" s="1"/>
      <c r="E117" s="130"/>
      <c r="F117" s="272"/>
      <c r="G117" s="1"/>
      <c r="H117" s="206"/>
      <c r="I117" s="1"/>
    </row>
    <row r="118">
      <c r="A118" s="68"/>
      <c r="B118" s="276" t="s">
        <v>264</v>
      </c>
      <c r="C118" s="276" t="s">
        <v>265</v>
      </c>
      <c r="D118" s="229" t="s">
        <v>266</v>
      </c>
      <c r="E118" s="277" t="s">
        <v>267</v>
      </c>
      <c r="F118" s="272"/>
      <c r="G118" s="1"/>
      <c r="H118" s="206"/>
      <c r="I118" s="1"/>
    </row>
    <row r="119">
      <c r="A119" s="68" t="s">
        <v>268</v>
      </c>
      <c r="B119" s="230">
        <v>0.0075</v>
      </c>
      <c r="C119" s="278">
        <f t="shared" ref="C119:C121" si="13">countif($C$127:$C$162,A119)</f>
        <v>1</v>
      </c>
      <c r="D119" s="232">
        <f t="shared" ref="D119:D121" si="14">$D$123*B119</f>
        <v>1755</v>
      </c>
      <c r="E119" s="233">
        <f t="shared" ref="E119:E121" si="15">IFERROR(D119/C119,"0")</f>
        <v>1755</v>
      </c>
      <c r="F119" s="272"/>
      <c r="G119" s="1"/>
      <c r="H119" s="206"/>
      <c r="I119" s="1"/>
    </row>
    <row r="120">
      <c r="A120" s="68" t="s">
        <v>269</v>
      </c>
      <c r="B120" s="234">
        <v>0.0225</v>
      </c>
      <c r="C120" s="278">
        <f t="shared" si="13"/>
        <v>19</v>
      </c>
      <c r="D120" s="232">
        <f t="shared" si="14"/>
        <v>5265</v>
      </c>
      <c r="E120" s="233">
        <f t="shared" si="15"/>
        <v>277.1052632</v>
      </c>
      <c r="F120" s="272"/>
      <c r="G120" s="1"/>
      <c r="H120" s="206"/>
      <c r="I120" s="1"/>
    </row>
    <row r="121">
      <c r="A121" s="68" t="s">
        <v>270</v>
      </c>
      <c r="B121" s="234">
        <v>0.97</v>
      </c>
      <c r="C121" s="278">
        <f t="shared" si="13"/>
        <v>16</v>
      </c>
      <c r="D121" s="232">
        <f t="shared" si="14"/>
        <v>226980</v>
      </c>
      <c r="E121" s="233">
        <f t="shared" si="15"/>
        <v>14186.25</v>
      </c>
      <c r="F121" s="272"/>
      <c r="G121" s="1"/>
      <c r="H121" s="206"/>
      <c r="I121" s="1"/>
    </row>
    <row r="122">
      <c r="A122" s="280"/>
      <c r="B122" s="281"/>
      <c r="C122" s="68"/>
      <c r="D122" s="282"/>
      <c r="E122" s="241"/>
      <c r="F122" s="272"/>
      <c r="G122" s="1"/>
      <c r="H122" s="206"/>
      <c r="I122" s="1"/>
    </row>
    <row r="123">
      <c r="A123" s="278" t="s">
        <v>93</v>
      </c>
      <c r="B123" s="238">
        <f t="shared" ref="B123:C123" si="16">sum(B119:B122)</f>
        <v>1</v>
      </c>
      <c r="C123" s="283">
        <f t="shared" si="16"/>
        <v>36</v>
      </c>
      <c r="D123" s="313">
        <v>234000.0</v>
      </c>
      <c r="E123" s="130"/>
      <c r="F123" s="272"/>
      <c r="G123" s="1"/>
      <c r="H123" s="206"/>
      <c r="I123" s="1"/>
    </row>
    <row r="124">
      <c r="A124" s="68"/>
      <c r="B124" s="242"/>
      <c r="C124" s="278">
        <f>COUNTA(C127:C162)</f>
        <v>36</v>
      </c>
      <c r="D124" s="284"/>
      <c r="E124" s="130"/>
      <c r="F124" s="272"/>
      <c r="G124" s="1"/>
      <c r="H124" s="206"/>
      <c r="I124" s="1"/>
    </row>
    <row r="125">
      <c r="A125" s="68"/>
      <c r="B125" s="242"/>
      <c r="C125" s="68"/>
      <c r="D125" s="284"/>
      <c r="E125" s="130"/>
      <c r="F125" s="272"/>
      <c r="G125" s="1"/>
      <c r="H125" s="206"/>
      <c r="I125" s="1"/>
    </row>
    <row r="126">
      <c r="A126" s="243" t="s">
        <v>273</v>
      </c>
      <c r="B126" s="246" t="s">
        <v>274</v>
      </c>
      <c r="C126" s="243" t="s">
        <v>364</v>
      </c>
      <c r="D126" s="315" t="s">
        <v>276</v>
      </c>
      <c r="E126" s="247" t="s">
        <v>277</v>
      </c>
      <c r="F126" s="316" t="s">
        <v>278</v>
      </c>
      <c r="G126" s="1"/>
      <c r="H126" s="206"/>
      <c r="I126" s="1"/>
    </row>
    <row r="127">
      <c r="A127" s="248" t="s">
        <v>362</v>
      </c>
      <c r="B127" s="249" t="str">
        <f>IFERROR(__xludf.DUMMYFUNCTION("VLOOKUP(A127,IMPORTRANGE(""https://docs.google.com/spreadsheets/d/1oJmkDK37Qizzdaxn4KCwh1BMwdNWuHCx3AGH8BC9yu0/edit?gid=781951868#gid=781951868"",""キャラ!D:F""),3,false)"),"識別怪獣兵器1 鳴海 弦")</f>
        <v>識別怪獣兵器1 鳴海 弦</v>
      </c>
      <c r="C127" s="250" t="s">
        <v>268</v>
      </c>
      <c r="D127" s="251">
        <f t="shared" ref="D127:D130" si="17">vlookup(C127,$A$50:$D$54,4,false)/vlookup(C127,$A$50:$D$54,3,false)</f>
        <v>351</v>
      </c>
      <c r="E127" s="252">
        <f>IFERROR(rounddown(F127/$C$119,5),"0%")</f>
        <v>0.0075</v>
      </c>
      <c r="F127" s="253">
        <v>0.0075</v>
      </c>
      <c r="G127" s="68"/>
      <c r="H127" s="206"/>
      <c r="I127" s="1"/>
    </row>
    <row r="128">
      <c r="A128" s="254" t="s">
        <v>279</v>
      </c>
      <c r="B128" s="249" t="str">
        <f>IFERROR(__xludf.DUMMYFUNCTION("VLOOKUP(A128,IMPORTRANGE(""https://docs.google.com/spreadsheets/d/1oJmkDK37Qizzdaxn4KCwh1BMwdNWuHCx3AGH8BC9yu0/edit?gid=781951868#gid=781951868"",""キャラ!D:F""),3,false)"),"第三部隊隊長 亜白 ミナ")</f>
        <v>第三部隊隊長 亜白 ミナ</v>
      </c>
      <c r="C128" s="255" t="s">
        <v>269</v>
      </c>
      <c r="D128" s="256">
        <f t="shared" si="17"/>
        <v>55.42105263</v>
      </c>
      <c r="E128" s="252">
        <f t="shared" ref="E128:E129" si="18">IFERROR(rounddown($F$128/$C$120,5),"0%")</f>
        <v>0.00118</v>
      </c>
      <c r="F128" s="253">
        <v>0.0225</v>
      </c>
      <c r="G128" s="1"/>
      <c r="H128" s="206"/>
      <c r="I128" s="1"/>
    </row>
    <row r="129">
      <c r="A129" s="254" t="s">
        <v>280</v>
      </c>
      <c r="B129" s="249" t="str">
        <f>IFERROR(__xludf.DUMMYFUNCTION("VLOOKUP(A129,IMPORTRANGE(""https://docs.google.com/spreadsheets/d/1oJmkDK37Qizzdaxn4KCwh1BMwdNWuHCx3AGH8BC9yu0/edit?gid=781951868#gid=781951868"",""キャラ!D:F""),3,false)"),"姉を想う盲愛 ユーリ・ブライア")</f>
        <v>姉を想う盲愛 ユーリ・ブライア</v>
      </c>
      <c r="C129" s="255" t="s">
        <v>269</v>
      </c>
      <c r="D129" s="256">
        <f t="shared" si="17"/>
        <v>55.42105263</v>
      </c>
      <c r="E129" s="252">
        <f t="shared" si="18"/>
        <v>0.00118</v>
      </c>
      <c r="F129" s="257"/>
      <c r="G129" s="1"/>
      <c r="H129" s="206"/>
      <c r="I129" s="1"/>
    </row>
    <row r="130">
      <c r="A130" s="314" t="s">
        <v>363</v>
      </c>
      <c r="B130" s="249" t="str">
        <f>IFERROR(__xludf.DUMMYFUNCTION("VLOOKUP(A130,IMPORTRANGE(""https://docs.google.com/spreadsheets/d/1oJmkDK37Qizzdaxn4KCwh1BMwdNWuHCx3AGH8BC9yu0/edit?gid=781951868#gid=781951868"",""キャラ!D:F""),3,false)"),"アクさらの愛 アイラ")</f>
        <v>アクさらの愛 アイラ</v>
      </c>
      <c r="C130" s="255" t="s">
        <v>269</v>
      </c>
      <c r="D130" s="256">
        <f t="shared" si="17"/>
        <v>55.42105263</v>
      </c>
      <c r="E130" s="252">
        <f>IFERROR(rounddown($F$60/$C$51,5),"0%")</f>
        <v>0.00118</v>
      </c>
      <c r="F130" s="257"/>
      <c r="G130" s="1"/>
      <c r="H130" s="206"/>
      <c r="I130" s="1"/>
    </row>
    <row r="131">
      <c r="A131" s="258" t="s">
        <v>281</v>
      </c>
      <c r="B131" s="259" t="str">
        <f>IFERROR(__xludf.DUMMYFUNCTION("VLOOKUP(A131,IMPORTRANGE(""https://docs.google.com/spreadsheets/d/1oJmkDK37Qizzdaxn4KCwh1BMwdNWuHCx3AGH8BC9yu0/edit?gid=781951868#gid=781951868"",""キャラ!D:F""),3,false)"),"復讐を誓う片星 星野 アクア")</f>
        <v>復讐を誓う片星 星野 アクア</v>
      </c>
      <c r="C131" s="260" t="s">
        <v>269</v>
      </c>
      <c r="D131" s="261">
        <v>0.0</v>
      </c>
      <c r="E131" s="262">
        <v>0.0</v>
      </c>
      <c r="F131" s="257"/>
      <c r="G131" s="1"/>
      <c r="H131" s="206"/>
      <c r="I131" s="1"/>
    </row>
    <row r="132">
      <c r="A132" s="258" t="s">
        <v>282</v>
      </c>
      <c r="B132" s="259" t="str">
        <f>IFERROR(__xludf.DUMMYFUNCTION("VLOOKUP(A132,IMPORTRANGE(""https://docs.google.com/spreadsheets/d/1oJmkDK37Qizzdaxn4KCwh1BMwdNWuHCx3AGH8BC9yu0/edit?gid=781951868#gid=781951868"",""キャラ!D:F""),3,false)"),"賊王 亜左 弔兵衛")</f>
        <v>賊王 亜左 弔兵衛</v>
      </c>
      <c r="C132" s="260" t="s">
        <v>269</v>
      </c>
      <c r="D132" s="261">
        <v>0.0</v>
      </c>
      <c r="E132" s="262">
        <v>0.0</v>
      </c>
      <c r="F132" s="257"/>
      <c r="G132" s="1"/>
      <c r="H132" s="206"/>
      <c r="I132" s="1"/>
    </row>
    <row r="133">
      <c r="A133" s="258" t="s">
        <v>283</v>
      </c>
      <c r="B133" s="259" t="str">
        <f>IFERROR(__xludf.DUMMYFUNCTION("VLOOKUP(A133,IMPORTRANGE(""https://docs.google.com/spreadsheets/d/1oJmkDK37Qizzdaxn4KCwh1BMwdNWuHCx3AGH8BC9yu0/edit?gid=781951868#gid=781951868"",""キャラ!D:F""),3,false)"),"元殺し屋の新人教諭 リタ")</f>
        <v>元殺し屋の新人教諭 リタ</v>
      </c>
      <c r="C133" s="260" t="s">
        <v>269</v>
      </c>
      <c r="D133" s="261">
        <v>0.0</v>
      </c>
      <c r="E133" s="262">
        <v>0.0</v>
      </c>
      <c r="F133" s="257"/>
      <c r="G133" s="1"/>
      <c r="H133" s="206"/>
      <c r="I133" s="1"/>
    </row>
    <row r="134">
      <c r="A134" s="263" t="s">
        <v>284</v>
      </c>
      <c r="B134" s="249" t="str">
        <f>IFERROR(__xludf.DUMMYFUNCTION("VLOOKUP(A134,IMPORTRANGE(""https://docs.google.com/spreadsheets/d/1oJmkDK37Qizzdaxn4KCwh1BMwdNWuHCx3AGH8BC9yu0/edit?gid=781951868#gid=781951868"",""キャラ!D:F""),3,false)"),"&lt;黄昏&gt; ロイド")</f>
        <v>&lt;黄昏&gt; ロイド</v>
      </c>
      <c r="C134" s="255" t="s">
        <v>269</v>
      </c>
      <c r="D134" s="256">
        <f t="shared" ref="D134:D147" si="19">vlookup(C134,$A$50:$D$54,4,false)/vlookup(C134,$A$50:$D$54,3,false)</f>
        <v>55.42105263</v>
      </c>
      <c r="E134" s="252">
        <f t="shared" ref="E134:E146" si="20">IFERROR(rounddown($F$128/$C$120,5),"0%")</f>
        <v>0.00118</v>
      </c>
      <c r="F134" s="257"/>
      <c r="G134" s="1"/>
      <c r="H134" s="206"/>
      <c r="I134" s="1"/>
    </row>
    <row r="135">
      <c r="A135" s="263" t="s">
        <v>285</v>
      </c>
      <c r="B135" s="249" t="str">
        <f>IFERROR(__xludf.DUMMYFUNCTION("VLOOKUP(A135,IMPORTRANGE(""https://docs.google.com/spreadsheets/d/1oJmkDK37Qizzdaxn4KCwh1BMwdNWuHCx3AGH8BC9yu0/edit?gid=781951868#gid=781951868"",""キャラ!D:F""),3,false)"),"&lt;いばら姫&gt; ヨル")</f>
        <v>&lt;いばら姫&gt; ヨル</v>
      </c>
      <c r="C135" s="255" t="s">
        <v>269</v>
      </c>
      <c r="D135" s="256">
        <f t="shared" si="19"/>
        <v>55.42105263</v>
      </c>
      <c r="E135" s="252">
        <f t="shared" si="20"/>
        <v>0.00118</v>
      </c>
      <c r="F135" s="257"/>
      <c r="G135" s="1"/>
      <c r="H135" s="206"/>
      <c r="I135" s="1"/>
    </row>
    <row r="136">
      <c r="A136" s="263" t="s">
        <v>286</v>
      </c>
      <c r="B136" s="249" t="str">
        <f>IFERROR(__xludf.DUMMYFUNCTION("VLOOKUP(A136,IMPORTRANGE(""https://docs.google.com/spreadsheets/d/1oJmkDK37Qizzdaxn4KCwh1BMwdNWuHCx3AGH8BC9yu0/edit?gid=781951868#gid=781951868"",""キャラ!D:F""),3,false)"),"わくわく アーニャ")</f>
        <v>わくわく アーニャ</v>
      </c>
      <c r="C136" s="255" t="s">
        <v>269</v>
      </c>
      <c r="D136" s="256">
        <f t="shared" si="19"/>
        <v>55.42105263</v>
      </c>
      <c r="E136" s="252">
        <f t="shared" si="20"/>
        <v>0.00118</v>
      </c>
      <c r="F136" s="257"/>
      <c r="G136" s="1"/>
      <c r="H136" s="206"/>
      <c r="I136" s="1"/>
    </row>
    <row r="137">
      <c r="A137" s="263" t="s">
        <v>287</v>
      </c>
      <c r="B137" s="249" t="str">
        <f>IFERROR(__xludf.DUMMYFUNCTION("VLOOKUP(A137,IMPORTRANGE(""https://docs.google.com/spreadsheets/d/1oJmkDK37Qizzdaxn4KCwh1BMwdNWuHCx3AGH8BC9yu0/edit?gid=781951868#gid=781951868"",""キャラ!D:F""),3,false)"),"ターボババアの霊力 オカルン")</f>
        <v>ターボババアの霊力 オカルン</v>
      </c>
      <c r="C137" s="255" t="s">
        <v>269</v>
      </c>
      <c r="D137" s="256">
        <f t="shared" si="19"/>
        <v>55.42105263</v>
      </c>
      <c r="E137" s="252">
        <f t="shared" si="20"/>
        <v>0.00118</v>
      </c>
      <c r="F137" s="257"/>
      <c r="G137" s="1"/>
      <c r="H137" s="206"/>
      <c r="I137" s="1"/>
    </row>
    <row r="138">
      <c r="A138" s="263" t="s">
        <v>288</v>
      </c>
      <c r="B138" s="249" t="str">
        <f>IFERROR(__xludf.DUMMYFUNCTION("VLOOKUP(A138,IMPORTRANGE(""https://docs.google.com/spreadsheets/d/1oJmkDK37Qizzdaxn4KCwh1BMwdNWuHCx3AGH8BC9yu0/edit?gid=781951868#gid=781951868"",""キャラ!D:F""),3,false)"),"囚われの王女 姫様")</f>
        <v>囚われの王女 姫様</v>
      </c>
      <c r="C138" s="255" t="s">
        <v>269</v>
      </c>
      <c r="D138" s="256">
        <f t="shared" si="19"/>
        <v>55.42105263</v>
      </c>
      <c r="E138" s="252">
        <f t="shared" si="20"/>
        <v>0.00118</v>
      </c>
      <c r="F138" s="257"/>
      <c r="G138" s="1"/>
      <c r="H138" s="206"/>
      <c r="I138" s="1"/>
    </row>
    <row r="139">
      <c r="A139" s="263" t="s">
        <v>289</v>
      </c>
      <c r="B139" s="249" t="str">
        <f>IFERROR(__xludf.DUMMYFUNCTION("VLOOKUP(A139,IMPORTRANGE(""https://docs.google.com/spreadsheets/d/1oJmkDK37Qizzdaxn4KCwh1BMwdNWuHCx3AGH8BC9yu0/edit?gid=781951868#gid=781951868"",""キャラ!D:F""),3,false)"),"悪魔が恐れる悪魔 チェンソーマン")</f>
        <v>悪魔が恐れる悪魔 チェンソーマン</v>
      </c>
      <c r="C139" s="255" t="s">
        <v>269</v>
      </c>
      <c r="D139" s="256">
        <f t="shared" si="19"/>
        <v>55.42105263</v>
      </c>
      <c r="E139" s="252">
        <f t="shared" si="20"/>
        <v>0.00118</v>
      </c>
      <c r="F139" s="257"/>
      <c r="G139" s="1"/>
      <c r="H139" s="206"/>
      <c r="I139" s="1"/>
    </row>
    <row r="140">
      <c r="A140" s="263" t="s">
        <v>290</v>
      </c>
      <c r="B140" s="249" t="str">
        <f>IFERROR(__xludf.DUMMYFUNCTION("VLOOKUP(A140,IMPORTRANGE(""https://docs.google.com/spreadsheets/d/1oJmkDK37Qizzdaxn4KCwh1BMwdNWuHCx3AGH8BC9yu0/edit?gid=781951868#gid=781951868"",""キャラ!D:F""),3,false)"),"隠された英雄の姿 怪獣８号")</f>
        <v>隠された英雄の姿 怪獣８号</v>
      </c>
      <c r="C140" s="255" t="s">
        <v>269</v>
      </c>
      <c r="D140" s="256">
        <f t="shared" si="19"/>
        <v>55.42105263</v>
      </c>
      <c r="E140" s="252">
        <f t="shared" si="20"/>
        <v>0.00118</v>
      </c>
      <c r="F140" s="257"/>
      <c r="G140" s="1"/>
      <c r="H140" s="206"/>
      <c r="I140" s="1"/>
    </row>
    <row r="141">
      <c r="A141" s="263" t="s">
        <v>291</v>
      </c>
      <c r="B141" s="249" t="str">
        <f>IFERROR(__xludf.DUMMYFUNCTION("VLOOKUP(A141,IMPORTRANGE(""https://docs.google.com/spreadsheets/d/1oJmkDK37Qizzdaxn4KCwh1BMwdNWuHCx3AGH8BC9yu0/edit?gid=781951868#gid=781951868"",""キャラ!D:F""),3,false)"),"リリエルに捧ぐ愛 天乃 リリサ")</f>
        <v>リリエルに捧ぐ愛 天乃 リリサ</v>
      </c>
      <c r="C141" s="255" t="s">
        <v>269</v>
      </c>
      <c r="D141" s="256">
        <f t="shared" si="19"/>
        <v>55.42105263</v>
      </c>
      <c r="E141" s="252">
        <f t="shared" si="20"/>
        <v>0.00118</v>
      </c>
      <c r="F141" s="257"/>
      <c r="G141" s="1"/>
      <c r="H141" s="206"/>
      <c r="I141" s="1"/>
    </row>
    <row r="142">
      <c r="A142" s="263" t="s">
        <v>292</v>
      </c>
      <c r="B142" s="249" t="str">
        <f>IFERROR(__xludf.DUMMYFUNCTION("VLOOKUP(A142,IMPORTRANGE(""https://docs.google.com/spreadsheets/d/1oJmkDK37Qizzdaxn4KCwh1BMwdNWuHCx3AGH8BC9yu0/edit?gid=781951868#gid=781951868"",""キャラ!D:F""),3,false)"),"コスプレに託す乙女心 橘 美花莉")</f>
        <v>コスプレに託す乙女心 橘 美花莉</v>
      </c>
      <c r="C142" s="255" t="s">
        <v>269</v>
      </c>
      <c r="D142" s="256">
        <f t="shared" si="19"/>
        <v>55.42105263</v>
      </c>
      <c r="E142" s="252">
        <f t="shared" si="20"/>
        <v>0.00118</v>
      </c>
      <c r="F142" s="257"/>
      <c r="G142" s="1"/>
      <c r="H142" s="206"/>
      <c r="I142" s="1"/>
    </row>
    <row r="143">
      <c r="A143" s="263" t="s">
        <v>293</v>
      </c>
      <c r="B143" s="249" t="str">
        <f>IFERROR(__xludf.DUMMYFUNCTION("VLOOKUP(A143,IMPORTRANGE(""https://docs.google.com/spreadsheets/d/1oJmkDK37Qizzdaxn4KCwh1BMwdNWuHCx3AGH8BC9yu0/edit?gid=781951868#gid=781951868"",""キャラ!D:F""),3,false)"),"誇り高き魔都の剣姫 羽前 京香")</f>
        <v>誇り高き魔都の剣姫 羽前 京香</v>
      </c>
      <c r="C143" s="255" t="s">
        <v>269</v>
      </c>
      <c r="D143" s="256">
        <f t="shared" si="19"/>
        <v>55.42105263</v>
      </c>
      <c r="E143" s="252">
        <f t="shared" si="20"/>
        <v>0.00118</v>
      </c>
      <c r="F143" s="257"/>
      <c r="G143" s="1"/>
      <c r="H143" s="206"/>
      <c r="I143" s="1"/>
    </row>
    <row r="144">
      <c r="A144" s="263" t="s">
        <v>294</v>
      </c>
      <c r="B144" s="249" t="str">
        <f>IFERROR(__xludf.DUMMYFUNCTION("VLOOKUP(A144,IMPORTRANGE(""https://docs.google.com/spreadsheets/d/1oJmkDK37Qizzdaxn4KCwh1BMwdNWuHCx3AGH8BC9yu0/edit?gid=781951868#gid=781951868"",""キャラ!D:F""),3,false)"),"がらんの画眉丸")</f>
        <v>がらんの画眉丸</v>
      </c>
      <c r="C144" s="255" t="s">
        <v>269</v>
      </c>
      <c r="D144" s="256">
        <f t="shared" si="19"/>
        <v>55.42105263</v>
      </c>
      <c r="E144" s="252">
        <f t="shared" si="20"/>
        <v>0.00118</v>
      </c>
      <c r="F144" s="257"/>
      <c r="G144" s="1"/>
      <c r="H144" s="206"/>
      <c r="I144" s="1"/>
    </row>
    <row r="145">
      <c r="A145" s="263" t="s">
        <v>295</v>
      </c>
      <c r="B145" s="249" t="str">
        <f>IFERROR(__xludf.DUMMYFUNCTION("VLOOKUP(A145,IMPORTRANGE(""https://docs.google.com/spreadsheets/d/1oJmkDK37Qizzdaxn4KCwh1BMwdNWuHCx3AGH8BC9yu0/edit?gid=781951868#gid=781951868"",""キャラ!D:F""),3,false)"),"新人魔法少女 桜木 カナ")</f>
        <v>新人魔法少女 桜木 カナ</v>
      </c>
      <c r="C145" s="255" t="s">
        <v>269</v>
      </c>
      <c r="D145" s="256">
        <f t="shared" si="19"/>
        <v>55.42105263</v>
      </c>
      <c r="E145" s="252">
        <f t="shared" si="20"/>
        <v>0.00118</v>
      </c>
      <c r="F145" s="257"/>
      <c r="G145" s="1"/>
      <c r="H145" s="206"/>
      <c r="I145" s="1"/>
    </row>
    <row r="146">
      <c r="A146" s="263" t="s">
        <v>296</v>
      </c>
      <c r="B146" s="249" t="str">
        <f>IFERROR(__xludf.DUMMYFUNCTION("VLOOKUP(A146,IMPORTRANGE(""https://docs.google.com/spreadsheets/d/1oJmkDK37Qizzdaxn4KCwh1BMwdNWuHCx3AGH8BC9yu0/edit?gid=781951868#gid=781951868"",""キャラ!D:F""),3,false)"),"影のウシオ 小舟 潮")</f>
        <v>影のウシオ 小舟 潮</v>
      </c>
      <c r="C146" s="255" t="s">
        <v>269</v>
      </c>
      <c r="D146" s="256">
        <f t="shared" si="19"/>
        <v>55.42105263</v>
      </c>
      <c r="E146" s="252">
        <f t="shared" si="20"/>
        <v>0.00118</v>
      </c>
      <c r="F146" s="264"/>
      <c r="G146" s="1"/>
      <c r="H146" s="206"/>
      <c r="I146" s="1"/>
    </row>
    <row r="147">
      <c r="A147" s="254" t="s">
        <v>297</v>
      </c>
      <c r="B147" s="249" t="str">
        <f>IFERROR(__xludf.DUMMYFUNCTION("VLOOKUP(A147,IMPORTRANGE(""https://docs.google.com/spreadsheets/d/1oJmkDK37Qizzdaxn4KCwh1BMwdNWuHCx3AGH8BC9yu0/edit?gid=781951868#gid=781951868"",""キャラ!D:F""),3,false)"),"保科 宗四郎")</f>
        <v>保科 宗四郎</v>
      </c>
      <c r="C147" s="265" t="s">
        <v>270</v>
      </c>
      <c r="D147" s="256">
        <f t="shared" si="19"/>
        <v>292.5</v>
      </c>
      <c r="E147" s="252">
        <f>IFERROR(rounddown($F$147/$C$121,5),"0%")</f>
        <v>0.06062</v>
      </c>
      <c r="F147" s="285">
        <v>0.97</v>
      </c>
      <c r="G147" s="1"/>
      <c r="H147" s="206"/>
      <c r="I147" s="1"/>
    </row>
    <row r="148">
      <c r="A148" s="258" t="s">
        <v>298</v>
      </c>
      <c r="B148" s="259" t="str">
        <f>IFERROR(__xludf.DUMMYFUNCTION("VLOOKUP(A148,IMPORTRANGE(""https://docs.google.com/spreadsheets/d/1oJmkDK37Qizzdaxn4KCwh1BMwdNWuHCx3AGH8BC9yu0/edit?gid=781951868#gid=781951868"",""キャラ!D:F""),3,false)"),"星野 ルビー")</f>
        <v>星野 ルビー</v>
      </c>
      <c r="C148" s="260" t="s">
        <v>270</v>
      </c>
      <c r="D148" s="261">
        <v>0.0</v>
      </c>
      <c r="E148" s="262">
        <v>0.0</v>
      </c>
      <c r="F148" s="257"/>
      <c r="G148" s="1"/>
      <c r="H148" s="206"/>
      <c r="I148" s="1"/>
    </row>
    <row r="149">
      <c r="A149" s="258" t="s">
        <v>299</v>
      </c>
      <c r="B149" s="259" t="str">
        <f>IFERROR(__xludf.DUMMYFUNCTION("VLOOKUP(A149,IMPORTRANGE(""https://docs.google.com/spreadsheets/d/1oJmkDK37Qizzdaxn4KCwh1BMwdNWuHCx3AGH8BC9yu0/edit?gid=781951868#gid=781951868"",""キャラ!D:F""),3,false)"),"MEMちょ")</f>
        <v>MEMちょ</v>
      </c>
      <c r="C149" s="260" t="s">
        <v>270</v>
      </c>
      <c r="D149" s="261">
        <v>0.0</v>
      </c>
      <c r="E149" s="262">
        <v>0.0</v>
      </c>
      <c r="F149" s="257"/>
      <c r="G149" s="1"/>
      <c r="H149" s="206"/>
      <c r="I149" s="1"/>
    </row>
    <row r="150">
      <c r="A150" s="258" t="s">
        <v>300</v>
      </c>
      <c r="B150" s="259" t="str">
        <f>IFERROR(__xludf.DUMMYFUNCTION("VLOOKUP(A150,IMPORTRANGE(""https://docs.google.com/spreadsheets/d/1oJmkDK37Qizzdaxn4KCwh1BMwdNWuHCx3AGH8BC9yu0/edit?gid=781951868#gid=781951868"",""キャラ!D:F""),3,false)"),"有馬 かな")</f>
        <v>有馬 かな</v>
      </c>
      <c r="C150" s="260" t="s">
        <v>270</v>
      </c>
      <c r="D150" s="261">
        <v>0.0</v>
      </c>
      <c r="E150" s="262">
        <v>0.0</v>
      </c>
      <c r="F150" s="257"/>
      <c r="G150" s="1"/>
      <c r="H150" s="206"/>
      <c r="I150" s="1"/>
    </row>
    <row r="151">
      <c r="A151" s="258" t="s">
        <v>301</v>
      </c>
      <c r="B151" s="259" t="str">
        <f>IFERROR(__xludf.DUMMYFUNCTION("VLOOKUP(A151,IMPORTRANGE(""https://docs.google.com/spreadsheets/d/1oJmkDK37Qizzdaxn4KCwh1BMwdNWuHCx3AGH8BC9yu0/edit?gid=781951868#gid=781951868"",""キャラ!D:F""),3,false)"),"黒川 あかね")</f>
        <v>黒川 あかね</v>
      </c>
      <c r="C151" s="260" t="s">
        <v>270</v>
      </c>
      <c r="D151" s="261">
        <v>0.0</v>
      </c>
      <c r="E151" s="262">
        <v>0.0</v>
      </c>
      <c r="F151" s="257"/>
      <c r="G151" s="1"/>
      <c r="H151" s="206"/>
      <c r="I151" s="1"/>
    </row>
    <row r="152">
      <c r="A152" s="258" t="s">
        <v>302</v>
      </c>
      <c r="B152" s="259" t="str">
        <f>IFERROR(__xludf.DUMMYFUNCTION("VLOOKUP(A152,IMPORTRANGE(""https://docs.google.com/spreadsheets/d/1oJmkDK37Qizzdaxn4KCwh1BMwdNWuHCx3AGH8BC9yu0/edit?gid=781951868#gid=781951868"",""キャラ!D:F""),3,false)"),"山田浅ェ門 桐馬")</f>
        <v>山田浅ェ門 桐馬</v>
      </c>
      <c r="C152" s="260" t="s">
        <v>270</v>
      </c>
      <c r="D152" s="261">
        <v>0.0</v>
      </c>
      <c r="E152" s="262">
        <v>0.0</v>
      </c>
      <c r="F152" s="257"/>
      <c r="G152" s="1"/>
      <c r="H152" s="206"/>
      <c r="I152" s="1"/>
    </row>
    <row r="153">
      <c r="A153" s="258" t="s">
        <v>303</v>
      </c>
      <c r="B153" s="259" t="str">
        <f>IFERROR(__xludf.DUMMYFUNCTION("VLOOKUP(A153,IMPORTRANGE(""https://docs.google.com/spreadsheets/d/1oJmkDK37Qizzdaxn4KCwh1BMwdNWuHCx3AGH8BC9yu0/edit?gid=781951868#gid=781951868"",""キャラ!D:F""),3,false)"),"ルーク")</f>
        <v>ルーク</v>
      </c>
      <c r="C153" s="260" t="s">
        <v>270</v>
      </c>
      <c r="D153" s="261">
        <v>0.0</v>
      </c>
      <c r="E153" s="262">
        <v>0.0</v>
      </c>
      <c r="F153" s="257"/>
      <c r="G153" s="1"/>
      <c r="H153" s="206"/>
      <c r="I153" s="1"/>
    </row>
    <row r="154">
      <c r="A154" s="263" t="s">
        <v>304</v>
      </c>
      <c r="B154" s="249" t="str">
        <f>IFERROR(__xludf.DUMMYFUNCTION("VLOOKUP(A154,IMPORTRANGE(""https://docs.google.com/spreadsheets/d/1oJmkDK37Qizzdaxn4KCwh1BMwdNWuHCx3AGH8BC9yu0/edit?gid=781951868#gid=781951868"",""キャラ!D:F""),3,false)"),"モモ")</f>
        <v>モモ</v>
      </c>
      <c r="C154" s="265" t="s">
        <v>270</v>
      </c>
      <c r="D154" s="256">
        <f t="shared" ref="D154:D162" si="21">vlookup(C154,$A$50:$D$54,4,false)/vlookup(C154,$A$50:$D$54,3,false)</f>
        <v>292.5</v>
      </c>
      <c r="E154" s="252">
        <f t="shared" ref="E154:E162" si="22">IFERROR(rounddown($F$147/$C$121,5),"0%")</f>
        <v>0.06062</v>
      </c>
      <c r="F154" s="257"/>
      <c r="G154" s="1"/>
      <c r="H154" s="206"/>
      <c r="I154" s="1"/>
    </row>
    <row r="155">
      <c r="A155" s="263" t="s">
        <v>305</v>
      </c>
      <c r="B155" s="249" t="str">
        <f>IFERROR(__xludf.DUMMYFUNCTION("VLOOKUP(A155,IMPORTRANGE(""https://docs.google.com/spreadsheets/d/1oJmkDK37Qizzdaxn4KCwh1BMwdNWuHCx3AGH8BC9yu0/edit?gid=781951868#gid=781951868"",""キャラ!D:F""),3,false)"),"早川 アキ")</f>
        <v>早川 アキ</v>
      </c>
      <c r="C155" s="265" t="s">
        <v>270</v>
      </c>
      <c r="D155" s="256">
        <f t="shared" si="21"/>
        <v>292.5</v>
      </c>
      <c r="E155" s="252">
        <f t="shared" si="22"/>
        <v>0.06062</v>
      </c>
      <c r="F155" s="257"/>
      <c r="G155" s="1"/>
      <c r="H155" s="206"/>
      <c r="I155" s="1"/>
    </row>
    <row r="156">
      <c r="A156" s="263" t="s">
        <v>306</v>
      </c>
      <c r="B156" s="249" t="str">
        <f>IFERROR(__xludf.DUMMYFUNCTION("VLOOKUP(A156,IMPORTRANGE(""https://docs.google.com/spreadsheets/d/1oJmkDK37Qizzdaxn4KCwh1BMwdNWuHCx3AGH8BC9yu0/edit?gid=781951868#gid=781951868"",""キャラ!D:F""),3,false)"),"パワー")</f>
        <v>パワー</v>
      </c>
      <c r="C156" s="265" t="s">
        <v>270</v>
      </c>
      <c r="D156" s="256">
        <f t="shared" si="21"/>
        <v>292.5</v>
      </c>
      <c r="E156" s="252">
        <f t="shared" si="22"/>
        <v>0.06062</v>
      </c>
      <c r="F156" s="257"/>
      <c r="G156" s="1"/>
      <c r="H156" s="206"/>
      <c r="I156" s="1"/>
    </row>
    <row r="157">
      <c r="A157" s="263" t="s">
        <v>307</v>
      </c>
      <c r="B157" s="249" t="str">
        <f>IFERROR(__xludf.DUMMYFUNCTION("VLOOKUP(A157,IMPORTRANGE(""https://docs.google.com/spreadsheets/d/1oJmkDK37Qizzdaxn4KCwh1BMwdNWuHCx3AGH8BC9yu0/edit?gid=781951868#gid=781951868"",""キャラ!D:F""),3,false)"),"四ノ宮 キコル")</f>
        <v>四ノ宮 キコル</v>
      </c>
      <c r="C157" s="265" t="s">
        <v>270</v>
      </c>
      <c r="D157" s="256">
        <f t="shared" si="21"/>
        <v>292.5</v>
      </c>
      <c r="E157" s="252">
        <f t="shared" si="22"/>
        <v>0.06062</v>
      </c>
      <c r="F157" s="257"/>
      <c r="G157" s="1"/>
      <c r="H157" s="206"/>
      <c r="I157" s="1"/>
    </row>
    <row r="158">
      <c r="A158" s="263" t="s">
        <v>308</v>
      </c>
      <c r="B158" s="249" t="str">
        <f>IFERROR(__xludf.DUMMYFUNCTION("VLOOKUP(A158,IMPORTRANGE(""https://docs.google.com/spreadsheets/d/1oJmkDK37Qizzdaxn4KCwh1BMwdNWuHCx3AGH8BC9yu0/edit?gid=781951868#gid=781951868"",""キャラ!D:F""),3,false)"),"鴨乃橋 ロン")</f>
        <v>鴨乃橋 ロン</v>
      </c>
      <c r="C158" s="265" t="s">
        <v>270</v>
      </c>
      <c r="D158" s="266">
        <f t="shared" si="21"/>
        <v>292.5</v>
      </c>
      <c r="E158" s="252">
        <f t="shared" si="22"/>
        <v>0.06062</v>
      </c>
      <c r="F158" s="257"/>
      <c r="G158" s="1"/>
      <c r="H158" s="206"/>
      <c r="I158" s="1"/>
    </row>
    <row r="159">
      <c r="A159" s="263" t="s">
        <v>309</v>
      </c>
      <c r="B159" s="249" t="str">
        <f>IFERROR(__xludf.DUMMYFUNCTION("VLOOKUP(A159,IMPORTRANGE(""https://docs.google.com/spreadsheets/d/1oJmkDK37Qizzdaxn4KCwh1BMwdNWuHCx3AGH8BC9yu0/edit?gid=781951868#gid=781951868"",""キャラ!D:F""),3,false)"),"阿波連 れいな")</f>
        <v>阿波連 れいな</v>
      </c>
      <c r="C159" s="265" t="s">
        <v>270</v>
      </c>
      <c r="D159" s="266">
        <f t="shared" si="21"/>
        <v>292.5</v>
      </c>
      <c r="E159" s="252">
        <f t="shared" si="22"/>
        <v>0.06062</v>
      </c>
      <c r="F159" s="257"/>
      <c r="G159" s="1"/>
      <c r="H159" s="206"/>
      <c r="I159" s="1"/>
    </row>
    <row r="160">
      <c r="A160" s="263" t="s">
        <v>310</v>
      </c>
      <c r="B160" s="249" t="str">
        <f>IFERROR(__xludf.DUMMYFUNCTION("VLOOKUP(A160,IMPORTRANGE(""https://docs.google.com/spreadsheets/d/1oJmkDK37Qizzdaxn4KCwh1BMwdNWuHCx3AGH8BC9yu0/edit?gid=781951868#gid=781951868"",""キャラ!D:F""),3,false)"),"山田浅ェ門 佐切")</f>
        <v>山田浅ェ門 佐切</v>
      </c>
      <c r="C160" s="265" t="s">
        <v>270</v>
      </c>
      <c r="D160" s="266">
        <f t="shared" si="21"/>
        <v>292.5</v>
      </c>
      <c r="E160" s="252">
        <f t="shared" si="22"/>
        <v>0.06062</v>
      </c>
      <c r="F160" s="257"/>
      <c r="G160" s="1"/>
      <c r="H160" s="206"/>
      <c r="I160" s="1"/>
    </row>
    <row r="161">
      <c r="A161" s="263" t="s">
        <v>311</v>
      </c>
      <c r="B161" s="249" t="str">
        <f>IFERROR(__xludf.DUMMYFUNCTION("VLOOKUP(A161,IMPORTRANGE(""https://docs.google.com/spreadsheets/d/1oJmkDK37Qizzdaxn4KCwh1BMwdNWuHCx3AGH8BC9yu0/edit?gid=781951868#gid=781951868"",""キャラ!D:F""),3,false)"),"冬木 美波")</f>
        <v>冬木 美波</v>
      </c>
      <c r="C161" s="265" t="s">
        <v>270</v>
      </c>
      <c r="D161" s="266">
        <f t="shared" si="21"/>
        <v>292.5</v>
      </c>
      <c r="E161" s="252">
        <f t="shared" si="22"/>
        <v>0.06062</v>
      </c>
      <c r="F161" s="257"/>
      <c r="G161" s="1"/>
      <c r="H161" s="206"/>
      <c r="I161" s="1"/>
    </row>
    <row r="162">
      <c r="A162" s="263" t="s">
        <v>312</v>
      </c>
      <c r="B162" s="249" t="str">
        <f>IFERROR(__xludf.DUMMYFUNCTION("VLOOKUP(A162,IMPORTRANGE(""https://docs.google.com/spreadsheets/d/1oJmkDK37Qizzdaxn4KCwh1BMwdNWuHCx3AGH8BC9yu0/edit?gid=781951868#gid=781951868"",""キャラ!D:F""),3,false)"),"秋野 沙友理")</f>
        <v>秋野 沙友理</v>
      </c>
      <c r="C162" s="265" t="s">
        <v>270</v>
      </c>
      <c r="D162" s="266">
        <f t="shared" si="21"/>
        <v>292.5</v>
      </c>
      <c r="E162" s="252">
        <f t="shared" si="22"/>
        <v>0.06062</v>
      </c>
      <c r="F162" s="257"/>
      <c r="G162" s="68"/>
      <c r="H162" s="206"/>
      <c r="I162" s="1"/>
    </row>
    <row r="163">
      <c r="A163" s="68"/>
      <c r="B163" s="68"/>
      <c r="C163" s="68"/>
      <c r="D163" s="284"/>
      <c r="E163" s="270">
        <f t="shared" ref="E163:F163" si="23">sum(E127:E162)</f>
        <v>0.63258</v>
      </c>
      <c r="F163" s="271">
        <f t="shared" si="23"/>
        <v>1</v>
      </c>
    </row>
    <row r="164">
      <c r="A164" s="68"/>
      <c r="B164" s="68"/>
      <c r="C164" s="68"/>
      <c r="D164" s="284"/>
      <c r="E164" s="270"/>
      <c r="F164" s="271"/>
    </row>
  </sheetData>
  <mergeCells count="8">
    <mergeCell ref="A31:A35"/>
    <mergeCell ref="G43:H46"/>
    <mergeCell ref="F60:F78"/>
    <mergeCell ref="F79:F94"/>
    <mergeCell ref="F95:F104"/>
    <mergeCell ref="F105:F113"/>
    <mergeCell ref="F128:F146"/>
    <mergeCell ref="F147:F162"/>
  </mergeCells>
  <conditionalFormatting sqref="B9:I9">
    <cfRule type="expression" dxfId="0" priority="1">
      <formula>$B8="無"</formula>
    </cfRule>
  </conditionalFormatting>
  <conditionalFormatting sqref="B17:I17">
    <cfRule type="expression" dxfId="0" priority="2">
      <formula>$B16="無"</formula>
    </cfRule>
  </conditionalFormatting>
  <conditionalFormatting sqref="B19:I19">
    <cfRule type="expression" dxfId="0" priority="3">
      <formula>$B18="無"</formula>
    </cfRule>
  </conditionalFormatting>
  <conditionalFormatting sqref="B23:I23">
    <cfRule type="expression" dxfId="0" priority="4">
      <formula>$B22="無"</formula>
    </cfRule>
  </conditionalFormatting>
  <conditionalFormatting sqref="B25:I25">
    <cfRule type="expression" dxfId="1" priority="5">
      <formula>$B24="無"</formula>
    </cfRule>
  </conditionalFormatting>
  <conditionalFormatting sqref="B27:I27">
    <cfRule type="expression" dxfId="0" priority="6">
      <formula>$B26="無"</formula>
    </cfRule>
  </conditionalFormatting>
  <conditionalFormatting sqref="B5 B10:B11 C10:I15">
    <cfRule type="expression" dxfId="1" priority="7">
      <formula>$B3="無"</formula>
    </cfRule>
  </conditionalFormatting>
  <conditionalFormatting sqref="C13:I15">
    <cfRule type="expression" dxfId="0" priority="8">
      <formula>#REF!="無"</formula>
    </cfRule>
  </conditionalFormatting>
  <dataValidations>
    <dataValidation type="list" allowBlank="1" showErrorMessage="1" sqref="H2">
      <formula1>"未承認,承認済,社内承認済"</formula1>
    </dataValidation>
    <dataValidation type="list" allowBlank="1" showErrorMessage="1" sqref="B8 B12:B13 B16 B18 B21:B22 B24 B26">
      <formula1>"有,無"</formula1>
    </dataValidation>
    <dataValidation type="list" allowBlank="1" showErrorMessage="1" sqref="B6">
      <formula1>"恒常ガシャ,ピックアップガシャ,フェス限定ガシャ,有償限定ガシャ,チュートリアルガシャ,チケットガシャ"</formula1>
    </dataValidation>
    <dataValidation type="list" allowBlank="1" showErrorMessage="1" sqref="B15">
      <formula1>"行う,行わない"</formula1>
    </dataValidation>
    <dataValidation type="list" allowBlank="1" showErrorMessage="1" sqref="B20">
      <formula1>"可,否"</formula1>
    </dataValidation>
  </dataValidations>
  <hyperlinks>
    <hyperlink r:id="rId1" location="gid=1243607662&amp;range=F:F" ref="F14"/>
    <hyperlink r:id="rId2" location="gid=920186449&amp;range=F:F" ref="E43"/>
    <hyperlink r:id="rId3" location="gid=158837977" ref="E45"/>
    <hyperlink r:id="rId4" location="gid=920186449&amp;range=H:H" ref="E46"/>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365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22.7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151"/>
      <c r="B2" s="156"/>
      <c r="C2" s="157"/>
      <c r="D2" s="157"/>
      <c r="E2" s="157"/>
      <c r="F2" s="158" t="s">
        <v>41</v>
      </c>
      <c r="G2" s="159"/>
      <c r="H2" s="14" t="s">
        <v>42</v>
      </c>
      <c r="I2" s="160"/>
    </row>
    <row r="3">
      <c r="A3" s="161" t="s">
        <v>181</v>
      </c>
      <c r="B3" s="162"/>
      <c r="C3" s="162"/>
      <c r="D3" s="162"/>
      <c r="E3" s="162"/>
      <c r="F3" s="162"/>
      <c r="G3" s="162"/>
      <c r="H3" s="163"/>
      <c r="I3" s="164" t="s">
        <v>182</v>
      </c>
    </row>
    <row r="4">
      <c r="A4" s="165" t="s">
        <v>183</v>
      </c>
      <c r="B4" s="166" t="s">
        <v>366</v>
      </c>
      <c r="C4" s="167"/>
      <c r="D4" s="167"/>
      <c r="E4" s="167"/>
      <c r="F4" s="167"/>
      <c r="G4" s="167"/>
      <c r="H4" s="168"/>
      <c r="I4" s="10" t="s">
        <v>185</v>
      </c>
    </row>
    <row r="5">
      <c r="A5" s="169" t="s">
        <v>186</v>
      </c>
      <c r="B5" s="170" t="s">
        <v>367</v>
      </c>
      <c r="C5" s="171"/>
      <c r="D5" s="171"/>
      <c r="E5" s="172"/>
      <c r="F5" s="171"/>
      <c r="G5" s="171"/>
      <c r="H5" s="173"/>
    </row>
    <row r="6">
      <c r="A6" s="165" t="s">
        <v>188</v>
      </c>
      <c r="B6" s="166" t="s">
        <v>368</v>
      </c>
      <c r="C6" s="167"/>
      <c r="D6" s="167"/>
      <c r="E6" s="167"/>
      <c r="F6" s="167"/>
      <c r="G6" s="167"/>
      <c r="H6" s="168"/>
    </row>
    <row r="7">
      <c r="A7" s="165" t="s">
        <v>190</v>
      </c>
      <c r="B7" s="174">
        <v>46097.5</v>
      </c>
      <c r="C7" s="175" t="s">
        <v>191</v>
      </c>
      <c r="D7" s="174">
        <v>46125.45832175926</v>
      </c>
      <c r="E7" s="167"/>
      <c r="F7" s="167"/>
      <c r="G7" s="167"/>
      <c r="H7" s="168"/>
      <c r="I7" s="10" t="s">
        <v>185</v>
      </c>
    </row>
    <row r="8">
      <c r="A8" s="165" t="s">
        <v>192</v>
      </c>
      <c r="B8" s="175" t="s">
        <v>193</v>
      </c>
      <c r="C8" s="166" t="s">
        <v>194</v>
      </c>
      <c r="D8" s="167"/>
      <c r="E8" s="167"/>
      <c r="F8" s="167"/>
      <c r="G8" s="167"/>
      <c r="H8" s="168"/>
    </row>
    <row r="9">
      <c r="A9" s="165" t="s">
        <v>195</v>
      </c>
      <c r="B9" s="166" t="s">
        <v>146</v>
      </c>
      <c r="C9" s="167"/>
      <c r="D9" s="167"/>
      <c r="E9" s="167"/>
      <c r="F9" s="167"/>
      <c r="G9" s="167"/>
      <c r="H9" s="168"/>
      <c r="I9" s="10" t="s">
        <v>21</v>
      </c>
    </row>
    <row r="10">
      <c r="A10" s="165" t="s">
        <v>196</v>
      </c>
      <c r="B10" s="170" t="s">
        <v>369</v>
      </c>
      <c r="C10" s="167"/>
      <c r="D10" s="167"/>
      <c r="E10" s="167"/>
      <c r="F10" s="167"/>
      <c r="G10" s="167"/>
      <c r="H10" s="168"/>
      <c r="I10" s="10" t="s">
        <v>21</v>
      </c>
    </row>
    <row r="11">
      <c r="A11" s="176" t="s">
        <v>198</v>
      </c>
      <c r="B11" s="177" t="s">
        <v>199</v>
      </c>
      <c r="C11" s="178"/>
      <c r="D11" s="178"/>
      <c r="E11" s="178"/>
      <c r="F11" s="178"/>
      <c r="G11" s="178"/>
      <c r="H11" s="179"/>
      <c r="I11" s="1"/>
    </row>
    <row r="12">
      <c r="A12" s="176" t="s">
        <v>200</v>
      </c>
      <c r="B12" s="175" t="s">
        <v>156</v>
      </c>
      <c r="C12" s="178"/>
      <c r="D12" s="178"/>
      <c r="E12" s="178"/>
      <c r="F12" s="178"/>
      <c r="G12" s="178"/>
      <c r="H12" s="179"/>
      <c r="I12" s="1"/>
    </row>
    <row r="13">
      <c r="A13" s="176" t="s">
        <v>201</v>
      </c>
      <c r="B13" s="175" t="s">
        <v>156</v>
      </c>
      <c r="C13" s="180"/>
      <c r="D13" s="178"/>
      <c r="E13" s="178"/>
      <c r="F13" s="178"/>
      <c r="G13" s="178"/>
      <c r="H13" s="179"/>
      <c r="I13" s="1"/>
    </row>
    <row r="14">
      <c r="A14" s="181" t="s">
        <v>202</v>
      </c>
      <c r="B14" s="182"/>
      <c r="C14" s="183" t="s">
        <v>203</v>
      </c>
      <c r="D14" s="184" t="str">
        <f>B14/60&amp;"時間"</f>
        <v>0時間</v>
      </c>
      <c r="E14" s="185" t="s">
        <v>204</v>
      </c>
      <c r="F14" s="186" t="s">
        <v>370</v>
      </c>
      <c r="G14" s="185"/>
      <c r="H14" s="187"/>
      <c r="I14" s="188"/>
    </row>
    <row r="15">
      <c r="A15" s="189" t="s">
        <v>206</v>
      </c>
      <c r="B15" s="190" t="s">
        <v>207</v>
      </c>
      <c r="C15" s="191"/>
      <c r="D15" s="185"/>
      <c r="E15" s="185"/>
      <c r="F15" s="185"/>
      <c r="G15" s="185"/>
      <c r="H15" s="187"/>
      <c r="I15" s="188"/>
    </row>
    <row r="16">
      <c r="A16" s="165" t="s">
        <v>208</v>
      </c>
      <c r="B16" s="175" t="s">
        <v>193</v>
      </c>
      <c r="C16" s="167"/>
      <c r="D16" s="167"/>
      <c r="E16" s="167"/>
      <c r="F16" s="167"/>
      <c r="G16" s="167"/>
      <c r="H16" s="168"/>
    </row>
    <row r="17">
      <c r="A17" s="165" t="s">
        <v>209</v>
      </c>
      <c r="B17" s="166">
        <v>100.0</v>
      </c>
      <c r="C17" s="166" t="s">
        <v>210</v>
      </c>
      <c r="D17" s="167"/>
      <c r="E17" s="167"/>
      <c r="F17" s="167"/>
      <c r="G17" s="167"/>
      <c r="H17" s="168"/>
    </row>
    <row r="18">
      <c r="A18" s="165" t="s">
        <v>211</v>
      </c>
      <c r="B18" s="175" t="s">
        <v>193</v>
      </c>
      <c r="C18" s="167"/>
      <c r="D18" s="167"/>
      <c r="E18" s="167"/>
      <c r="F18" s="167"/>
      <c r="G18" s="167"/>
      <c r="H18" s="168"/>
    </row>
    <row r="19">
      <c r="A19" s="165" t="s">
        <v>212</v>
      </c>
      <c r="B19" s="166">
        <v>10.0</v>
      </c>
      <c r="C19" s="166" t="s">
        <v>213</v>
      </c>
      <c r="D19" s="167"/>
      <c r="E19" s="167"/>
      <c r="F19" s="167"/>
      <c r="G19" s="167"/>
      <c r="H19" s="168"/>
    </row>
    <row r="20">
      <c r="A20" s="165" t="s">
        <v>214</v>
      </c>
      <c r="B20" s="175" t="s">
        <v>215</v>
      </c>
      <c r="C20" s="166" t="s">
        <v>216</v>
      </c>
      <c r="D20" s="167"/>
      <c r="E20" s="167"/>
      <c r="F20" s="167"/>
      <c r="G20" s="167"/>
      <c r="H20" s="168"/>
    </row>
    <row r="21">
      <c r="A21" s="165" t="s">
        <v>217</v>
      </c>
      <c r="B21" s="175" t="s">
        <v>156</v>
      </c>
      <c r="C21" s="167"/>
      <c r="D21" s="167"/>
      <c r="E21" s="167"/>
      <c r="F21" s="167"/>
      <c r="G21" s="167"/>
      <c r="H21" s="168"/>
    </row>
    <row r="22">
      <c r="A22" s="165" t="s">
        <v>218</v>
      </c>
      <c r="B22" s="175" t="s">
        <v>193</v>
      </c>
      <c r="C22" s="167"/>
      <c r="D22" s="167"/>
      <c r="E22" s="167"/>
      <c r="F22" s="167"/>
      <c r="G22" s="167"/>
      <c r="H22" s="168"/>
    </row>
    <row r="23">
      <c r="A23" s="192" t="s">
        <v>219</v>
      </c>
      <c r="B23" s="193">
        <v>150.0</v>
      </c>
      <c r="C23" s="194" t="s">
        <v>220</v>
      </c>
      <c r="D23" s="178" t="s">
        <v>221</v>
      </c>
      <c r="E23" s="178"/>
      <c r="F23" s="178"/>
      <c r="G23" s="178"/>
      <c r="H23" s="179"/>
      <c r="I23" s="1"/>
    </row>
    <row r="24">
      <c r="A24" s="165" t="s">
        <v>222</v>
      </c>
      <c r="B24" s="175" t="s">
        <v>193</v>
      </c>
      <c r="C24" s="167"/>
      <c r="D24" s="167"/>
      <c r="E24" s="167"/>
      <c r="F24" s="167"/>
      <c r="G24" s="167"/>
      <c r="H24" s="168"/>
    </row>
    <row r="25">
      <c r="A25" s="192" t="s">
        <v>223</v>
      </c>
      <c r="B25" s="195">
        <v>1500.0</v>
      </c>
      <c r="C25" s="194" t="s">
        <v>220</v>
      </c>
      <c r="D25" s="178" t="s">
        <v>224</v>
      </c>
      <c r="E25" s="178"/>
      <c r="F25" s="178"/>
      <c r="G25" s="178"/>
      <c r="H25" s="179"/>
      <c r="I25" s="1"/>
    </row>
    <row r="26">
      <c r="A26" s="165" t="s">
        <v>225</v>
      </c>
      <c r="B26" s="175" t="s">
        <v>156</v>
      </c>
      <c r="C26" s="167"/>
      <c r="D26" s="167"/>
      <c r="E26" s="167"/>
      <c r="F26" s="167"/>
      <c r="G26" s="167"/>
      <c r="H26" s="168"/>
    </row>
    <row r="27">
      <c r="A27" s="165" t="s">
        <v>226</v>
      </c>
      <c r="B27" s="167"/>
      <c r="C27" s="175" t="s">
        <v>227</v>
      </c>
      <c r="D27" s="167"/>
      <c r="E27" s="166" t="s">
        <v>228</v>
      </c>
      <c r="F27" s="166" t="s">
        <v>229</v>
      </c>
      <c r="G27" s="167"/>
      <c r="H27" s="168"/>
      <c r="I27" s="196"/>
    </row>
    <row r="28">
      <c r="A28" s="165" t="s">
        <v>230</v>
      </c>
      <c r="B28" s="166" t="s">
        <v>371</v>
      </c>
      <c r="C28" s="167"/>
      <c r="D28" s="167"/>
      <c r="E28" s="167"/>
      <c r="F28" s="167"/>
      <c r="G28" s="167"/>
      <c r="H28" s="168"/>
      <c r="I28" s="10" t="s">
        <v>185</v>
      </c>
    </row>
    <row r="29">
      <c r="A29" s="197" t="s">
        <v>232</v>
      </c>
      <c r="B29" s="166" t="s">
        <v>372</v>
      </c>
      <c r="C29" s="166"/>
      <c r="D29" s="167"/>
      <c r="E29" s="167"/>
      <c r="F29" s="167"/>
      <c r="G29" s="167"/>
      <c r="H29" s="168"/>
      <c r="I29" s="10" t="s">
        <v>185</v>
      </c>
    </row>
    <row r="30">
      <c r="A30" s="197" t="s">
        <v>234</v>
      </c>
      <c r="B30" s="166" t="s">
        <v>373</v>
      </c>
      <c r="C30" s="166"/>
      <c r="D30" s="167"/>
      <c r="E30" s="167"/>
      <c r="F30" s="167"/>
      <c r="G30" s="167"/>
      <c r="H30" s="168"/>
      <c r="I30" s="10" t="s">
        <v>185</v>
      </c>
    </row>
    <row r="31">
      <c r="A31" s="317" t="s">
        <v>236</v>
      </c>
      <c r="B31" s="194" t="s">
        <v>237</v>
      </c>
      <c r="C31" s="194" t="s">
        <v>238</v>
      </c>
      <c r="D31" s="167"/>
      <c r="E31" s="167"/>
      <c r="F31" s="167"/>
      <c r="G31" s="167"/>
      <c r="H31" s="168"/>
    </row>
    <row r="32">
      <c r="A32" s="199"/>
      <c r="B32" s="194" t="s">
        <v>239</v>
      </c>
      <c r="C32" s="194"/>
      <c r="D32" s="167"/>
      <c r="E32" s="167"/>
      <c r="F32" s="167"/>
      <c r="G32" s="167"/>
      <c r="H32" s="168"/>
    </row>
    <row r="33">
      <c r="A33" s="199"/>
      <c r="B33" s="194" t="s">
        <v>240</v>
      </c>
      <c r="C33" s="194"/>
      <c r="D33" s="167"/>
      <c r="E33" s="167"/>
      <c r="F33" s="167"/>
      <c r="G33" s="167"/>
      <c r="H33" s="168"/>
    </row>
    <row r="34">
      <c r="A34" s="199"/>
      <c r="B34" s="194" t="s">
        <v>241</v>
      </c>
      <c r="C34" s="194"/>
      <c r="D34" s="167"/>
      <c r="E34" s="167"/>
      <c r="F34" s="167"/>
      <c r="G34" s="167"/>
      <c r="H34" s="168"/>
    </row>
    <row r="35">
      <c r="A35" s="199"/>
      <c r="B35" s="194" t="s">
        <v>242</v>
      </c>
      <c r="C35" s="194"/>
      <c r="D35" s="167"/>
      <c r="E35" s="167"/>
      <c r="F35" s="167"/>
      <c r="G35" s="167"/>
      <c r="H35" s="168"/>
    </row>
    <row r="36">
      <c r="A36" s="197" t="s">
        <v>22</v>
      </c>
      <c r="B36" s="166"/>
      <c r="C36" s="167"/>
      <c r="D36" s="167"/>
      <c r="E36" s="167"/>
      <c r="F36" s="167"/>
      <c r="G36" s="167"/>
      <c r="H36" s="168"/>
    </row>
    <row r="37">
      <c r="A37" s="201"/>
      <c r="B37" s="166"/>
      <c r="C37" s="167"/>
      <c r="D37" s="167"/>
      <c r="E37" s="167"/>
      <c r="F37" s="167"/>
      <c r="G37" s="167"/>
      <c r="H37" s="168"/>
    </row>
    <row r="38">
      <c r="A38" s="201"/>
      <c r="B38" s="167"/>
      <c r="C38" s="167"/>
      <c r="D38" s="167"/>
      <c r="E38" s="167"/>
      <c r="F38" s="167"/>
      <c r="G38" s="167"/>
      <c r="H38" s="168"/>
    </row>
    <row r="39">
      <c r="A39" s="202" t="s">
        <v>245</v>
      </c>
      <c r="B39" s="204"/>
      <c r="C39" s="204"/>
      <c r="D39" s="204"/>
      <c r="E39" s="204"/>
      <c r="F39" s="204"/>
      <c r="G39" s="204"/>
      <c r="H39" s="205"/>
      <c r="I39" s="1"/>
    </row>
    <row r="40">
      <c r="A40" s="13" t="s">
        <v>246</v>
      </c>
      <c r="B40" s="7" t="s">
        <v>374</v>
      </c>
      <c r="C40" s="1"/>
      <c r="D40" s="1"/>
      <c r="E40" s="1"/>
      <c r="F40" s="1"/>
      <c r="G40" s="1"/>
      <c r="H40" s="206"/>
      <c r="I40" s="1"/>
    </row>
    <row r="41">
      <c r="A41" s="207" t="s">
        <v>375</v>
      </c>
      <c r="B41" s="208" t="s">
        <v>376</v>
      </c>
      <c r="C41" s="209"/>
      <c r="D41" s="209"/>
      <c r="E41" s="209"/>
      <c r="F41" s="209"/>
      <c r="G41" s="209"/>
      <c r="H41" s="210"/>
      <c r="I41" s="1"/>
    </row>
    <row r="42">
      <c r="A42" s="207" t="s">
        <v>377</v>
      </c>
      <c r="B42" s="208" t="s">
        <v>378</v>
      </c>
      <c r="C42" s="209"/>
      <c r="D42" s="209"/>
      <c r="E42" s="209"/>
      <c r="F42" s="209"/>
      <c r="G42" s="209"/>
      <c r="H42" s="210"/>
      <c r="I42" s="1"/>
    </row>
    <row r="43">
      <c r="A43" s="207" t="s">
        <v>379</v>
      </c>
      <c r="B43" s="208" t="s">
        <v>380</v>
      </c>
      <c r="C43" s="209"/>
      <c r="D43" s="209"/>
      <c r="E43" s="209"/>
      <c r="F43" s="209"/>
      <c r="G43" s="209"/>
      <c r="H43" s="210"/>
      <c r="I43" s="1"/>
    </row>
    <row r="44">
      <c r="A44" s="211" t="s">
        <v>250</v>
      </c>
      <c r="B44" s="212"/>
      <c r="C44" s="212"/>
      <c r="D44" s="212"/>
      <c r="E44" s="212"/>
      <c r="F44" s="212"/>
      <c r="G44" s="212"/>
      <c r="H44" s="213"/>
    </row>
    <row r="45" ht="78.75" customHeight="1">
      <c r="A45" s="214" t="s">
        <v>251</v>
      </c>
      <c r="B45" s="215" t="s">
        <v>381</v>
      </c>
      <c r="C45" s="216"/>
      <c r="D45" s="10" t="s">
        <v>382</v>
      </c>
      <c r="E45" s="217" t="s">
        <v>253</v>
      </c>
      <c r="F45" s="218"/>
      <c r="G45" s="218"/>
      <c r="I45" s="219" t="s">
        <v>21</v>
      </c>
    </row>
    <row r="46" ht="18.75" customHeight="1">
      <c r="A46" s="214" t="s">
        <v>254</v>
      </c>
      <c r="B46" s="220" t="str">
        <f>IFERROR(__xludf.DUMMYFUNCTION("VLOOKUP(C46,IMPORTRANGE(""https://docs.google.com/spreadsheets/d/1oJmkDK37Qizzdaxn4KCwh1BMwdNWuHCx3AGH8BC9yu0/edit?gid=781951868#gid=781951868"",""キャラ!D:F""),3,false)"),"識別怪獣兵器6 市川 レノ")</f>
        <v>識別怪獣兵器6 市川 レノ</v>
      </c>
      <c r="C46" s="224" t="s">
        <v>383</v>
      </c>
      <c r="D46" s="222"/>
      <c r="E46" s="218"/>
      <c r="F46" s="218"/>
      <c r="I46" s="219" t="s">
        <v>21</v>
      </c>
    </row>
    <row r="47" ht="78.75" customHeight="1">
      <c r="A47" s="214" t="s">
        <v>256</v>
      </c>
      <c r="B47" s="318" t="s">
        <v>257</v>
      </c>
      <c r="C47" s="224"/>
      <c r="E47" s="217" t="s">
        <v>258</v>
      </c>
      <c r="F47" s="218"/>
      <c r="I47" s="219" t="s">
        <v>259</v>
      </c>
    </row>
    <row r="48">
      <c r="A48" s="214" t="s">
        <v>384</v>
      </c>
      <c r="B48" s="220" t="str">
        <f>IFERROR(__xludf.DUMMYFUNCTION("VLOOKUP(C48,IMPORTRANGE(""https://docs.google.com/spreadsheets/d/1oJmkDK37Qizzdaxn4KCwh1BMwdNWuHCx3AGH8BC9yu0/edit?gid=781951868#gid=781951868"",""キャラ!D:F""),3,false)"),"斉藤 ミヤコ")</f>
        <v>斉藤 ミヤコ</v>
      </c>
      <c r="C48" s="214" t="s">
        <v>385</v>
      </c>
      <c r="E48" s="319"/>
      <c r="F48" s="218"/>
      <c r="I48" s="219" t="s">
        <v>21</v>
      </c>
    </row>
    <row r="49">
      <c r="A49" s="214" t="s">
        <v>386</v>
      </c>
      <c r="B49" s="318" t="s">
        <v>257</v>
      </c>
      <c r="C49" s="320"/>
      <c r="E49" s="319"/>
      <c r="F49" s="218"/>
      <c r="I49" s="219" t="s">
        <v>259</v>
      </c>
    </row>
    <row r="50">
      <c r="A50" s="214" t="s">
        <v>384</v>
      </c>
      <c r="B50" s="220" t="str">
        <f>IFERROR(__xludf.DUMMYFUNCTION("VLOOKUP(C50,IMPORTRANGE(""https://docs.google.com/spreadsheets/d/1oJmkDK37Qizzdaxn4KCwh1BMwdNWuHCx3AGH8BC9yu0/edit?gid=781951868#gid=781951868"",""キャラ!D:F""),3,false)"),"祥龍院 隆子")</f>
        <v>祥龍院 隆子</v>
      </c>
      <c r="C50" s="214" t="s">
        <v>387</v>
      </c>
      <c r="E50" s="319"/>
      <c r="F50" s="218"/>
      <c r="I50" s="219"/>
    </row>
    <row r="51">
      <c r="A51" s="214" t="s">
        <v>386</v>
      </c>
      <c r="B51" s="318" t="s">
        <v>257</v>
      </c>
      <c r="C51" s="320"/>
      <c r="E51" s="319"/>
      <c r="F51" s="218"/>
      <c r="I51" s="219"/>
    </row>
    <row r="52" ht="78.75" customHeight="1">
      <c r="A52" s="214" t="s">
        <v>260</v>
      </c>
      <c r="B52" s="225" t="s">
        <v>261</v>
      </c>
      <c r="C52" s="226"/>
      <c r="E52" s="217" t="s">
        <v>253</v>
      </c>
      <c r="F52" s="219" t="s">
        <v>262</v>
      </c>
      <c r="I52" s="219" t="s">
        <v>21</v>
      </c>
    </row>
    <row r="53">
      <c r="A53" s="227" t="s">
        <v>263</v>
      </c>
      <c r="B53" s="204"/>
      <c r="C53" s="204"/>
      <c r="D53" s="204"/>
      <c r="E53" s="204"/>
      <c r="F53" s="204"/>
      <c r="G53" s="204"/>
      <c r="H53" s="205"/>
      <c r="I53" s="164" t="s">
        <v>21</v>
      </c>
    </row>
    <row r="54">
      <c r="A54" s="1"/>
      <c r="B54" s="1"/>
      <c r="C54" s="1"/>
      <c r="D54" s="1"/>
      <c r="E54" s="1"/>
      <c r="F54" s="1"/>
      <c r="G54" s="1"/>
      <c r="H54" s="206"/>
    </row>
    <row r="55">
      <c r="A55" s="1"/>
      <c r="B55" s="229" t="s">
        <v>264</v>
      </c>
      <c r="C55" s="229" t="s">
        <v>265</v>
      </c>
      <c r="D55" s="229" t="s">
        <v>266</v>
      </c>
      <c r="E55" s="3" t="s">
        <v>267</v>
      </c>
      <c r="F55" s="1"/>
      <c r="G55" s="1"/>
      <c r="H55" s="206"/>
    </row>
    <row r="56">
      <c r="A56" s="1" t="s">
        <v>268</v>
      </c>
      <c r="B56" s="230">
        <v>0.0075</v>
      </c>
      <c r="C56" s="231">
        <f t="shared" ref="C56:C61" si="1">countif($C$66:$C$109,A56)</f>
        <v>1</v>
      </c>
      <c r="D56" s="232">
        <f t="shared" ref="D56:D61" si="2">$D$62*B56</f>
        <v>702</v>
      </c>
      <c r="E56" s="233">
        <f t="shared" ref="E56:E61" si="3">IFERROR(D56/C56,"0")</f>
        <v>702</v>
      </c>
      <c r="F56" s="1"/>
      <c r="G56" s="1"/>
      <c r="H56" s="206"/>
    </row>
    <row r="57">
      <c r="A57" s="1" t="s">
        <v>269</v>
      </c>
      <c r="B57" s="234">
        <v>0.0225</v>
      </c>
      <c r="C57" s="231">
        <f t="shared" si="1"/>
        <v>13</v>
      </c>
      <c r="D57" s="232">
        <f t="shared" si="2"/>
        <v>2106</v>
      </c>
      <c r="E57" s="233">
        <f t="shared" si="3"/>
        <v>162</v>
      </c>
      <c r="F57" s="1"/>
      <c r="G57" s="1"/>
      <c r="H57" s="206"/>
    </row>
    <row r="58">
      <c r="A58" s="1" t="s">
        <v>388</v>
      </c>
      <c r="B58" s="321">
        <v>0.03</v>
      </c>
      <c r="C58" s="231">
        <f t="shared" si="1"/>
        <v>2</v>
      </c>
      <c r="D58" s="232">
        <f t="shared" si="2"/>
        <v>2808</v>
      </c>
      <c r="E58" s="233">
        <f t="shared" si="3"/>
        <v>1404</v>
      </c>
      <c r="F58" s="1"/>
      <c r="G58" s="1"/>
      <c r="H58" s="206"/>
    </row>
    <row r="59">
      <c r="A59" s="1" t="s">
        <v>270</v>
      </c>
      <c r="B59" s="322">
        <v>0.07</v>
      </c>
      <c r="C59" s="231">
        <f t="shared" si="1"/>
        <v>9</v>
      </c>
      <c r="D59" s="232">
        <f t="shared" si="2"/>
        <v>6552</v>
      </c>
      <c r="E59" s="233">
        <f t="shared" si="3"/>
        <v>728</v>
      </c>
      <c r="F59" s="1"/>
      <c r="G59" s="1"/>
      <c r="H59" s="206"/>
    </row>
    <row r="60">
      <c r="A60" s="1" t="s">
        <v>271</v>
      </c>
      <c r="B60" s="234">
        <v>0.35</v>
      </c>
      <c r="C60" s="231">
        <f t="shared" si="1"/>
        <v>10</v>
      </c>
      <c r="D60" s="232">
        <f t="shared" si="2"/>
        <v>32760</v>
      </c>
      <c r="E60" s="233">
        <f t="shared" si="3"/>
        <v>3276</v>
      </c>
      <c r="F60" s="1"/>
      <c r="G60" s="1"/>
      <c r="H60" s="206"/>
    </row>
    <row r="61">
      <c r="A61" s="235" t="s">
        <v>272</v>
      </c>
      <c r="B61" s="236">
        <v>0.52</v>
      </c>
      <c r="C61" s="231">
        <f t="shared" si="1"/>
        <v>9</v>
      </c>
      <c r="D61" s="237">
        <f t="shared" si="2"/>
        <v>48672</v>
      </c>
      <c r="E61" s="233">
        <f t="shared" si="3"/>
        <v>5408</v>
      </c>
      <c r="F61" s="1"/>
      <c r="G61" s="1"/>
      <c r="H61" s="206"/>
    </row>
    <row r="62">
      <c r="A62" s="278" t="s">
        <v>93</v>
      </c>
      <c r="B62" s="238">
        <f>sum(B56:B61)</f>
        <v>1</v>
      </c>
      <c r="C62" s="239">
        <f>COUNTA(B66:B109)</f>
        <v>44</v>
      </c>
      <c r="D62" s="323">
        <v>93600.0</v>
      </c>
      <c r="E62" s="1"/>
      <c r="F62" s="1"/>
      <c r="G62" s="1"/>
      <c r="H62" s="206"/>
    </row>
    <row r="63">
      <c r="A63" s="1"/>
      <c r="B63" s="1"/>
      <c r="C63" s="231">
        <f>sum(C56:C61)</f>
        <v>44</v>
      </c>
      <c r="D63" s="1"/>
      <c r="E63" s="1"/>
      <c r="F63" s="1"/>
      <c r="G63" s="1"/>
      <c r="H63" s="206"/>
    </row>
    <row r="64">
      <c r="A64" s="68"/>
      <c r="B64" s="1"/>
      <c r="C64" s="1"/>
      <c r="D64" s="68"/>
      <c r="E64" s="1"/>
      <c r="F64" s="1"/>
      <c r="G64" s="1"/>
      <c r="H64" s="206"/>
      <c r="I64" s="324"/>
    </row>
    <row r="65">
      <c r="A65" s="243" t="s">
        <v>273</v>
      </c>
      <c r="B65" s="325" t="s">
        <v>274</v>
      </c>
      <c r="C65" s="325" t="s">
        <v>275</v>
      </c>
      <c r="D65" s="245" t="s">
        <v>276</v>
      </c>
      <c r="E65" s="326" t="s">
        <v>277</v>
      </c>
      <c r="F65" s="327" t="s">
        <v>278</v>
      </c>
      <c r="G65" s="68"/>
      <c r="H65" s="206"/>
    </row>
    <row r="66">
      <c r="A66" s="248" t="s">
        <v>383</v>
      </c>
      <c r="B66" s="249" t="str">
        <f>IFERROR(__xludf.DUMMYFUNCTION("VLOOKUP(A66,IMPORTRANGE(""https://docs.google.com/spreadsheets/d/1oJmkDK37Qizzdaxn4KCwh1BMwdNWuHCx3AGH8BC9yu0/edit?gid=781951868#gid=781951868"",""キャラ!D:F""),3,false)"),"識別怪獣兵器6 市川 レノ")</f>
        <v>識別怪獣兵器6 市川 レノ</v>
      </c>
      <c r="C66" s="250" t="s">
        <v>268</v>
      </c>
      <c r="D66" s="251">
        <f t="shared" ref="D66:D109" si="4">vlookup(C66,$A$56:$D$61,4,false)/vlookup(C66,$A$56:$D$61,3,false)</f>
        <v>702</v>
      </c>
      <c r="E66" s="252">
        <f>IFERROR(rounddown(F66/$C$56,5),"0%")</f>
        <v>0.0075</v>
      </c>
      <c r="F66" s="253">
        <v>0.0075</v>
      </c>
      <c r="G66" s="1" t="s">
        <v>389</v>
      </c>
      <c r="H66" s="206"/>
    </row>
    <row r="67">
      <c r="A67" s="248" t="s">
        <v>284</v>
      </c>
      <c r="B67" s="249" t="str">
        <f>IFERROR(__xludf.DUMMYFUNCTION("VLOOKUP(A67,IMPORTRANGE(""https://docs.google.com/spreadsheets/d/1oJmkDK37Qizzdaxn4KCwh1BMwdNWuHCx3AGH8BC9yu0/edit?gid=781951868#gid=781951868"",""キャラ!D:F""),3,false)"),"&lt;黄昏&gt; ロイド")</f>
        <v>&lt;黄昏&gt; ロイド</v>
      </c>
      <c r="C67" s="255" t="s">
        <v>269</v>
      </c>
      <c r="D67" s="256">
        <f t="shared" si="4"/>
        <v>162</v>
      </c>
      <c r="E67" s="252">
        <f t="shared" ref="E67:E79" si="5">IFERROR(rounddown($F$67/$C$57,5),"0%")</f>
        <v>0.00173</v>
      </c>
      <c r="F67" s="253">
        <v>0.0225</v>
      </c>
      <c r="G67" s="1"/>
      <c r="H67" s="206"/>
    </row>
    <row r="68">
      <c r="A68" s="248" t="s">
        <v>285</v>
      </c>
      <c r="B68" s="249" t="str">
        <f>IFERROR(__xludf.DUMMYFUNCTION("VLOOKUP(A68,IMPORTRANGE(""https://docs.google.com/spreadsheets/d/1oJmkDK37Qizzdaxn4KCwh1BMwdNWuHCx3AGH8BC9yu0/edit?gid=781951868#gid=781951868"",""キャラ!D:F""),3,false)"),"&lt;いばら姫&gt; ヨル")</f>
        <v>&lt;いばら姫&gt; ヨル</v>
      </c>
      <c r="C68" s="255" t="s">
        <v>269</v>
      </c>
      <c r="D68" s="256">
        <f t="shared" si="4"/>
        <v>162</v>
      </c>
      <c r="E68" s="252">
        <f t="shared" si="5"/>
        <v>0.00173</v>
      </c>
      <c r="F68" s="257"/>
      <c r="G68" s="1"/>
      <c r="H68" s="206"/>
    </row>
    <row r="69">
      <c r="A69" s="248" t="s">
        <v>286</v>
      </c>
      <c r="B69" s="249" t="str">
        <f>IFERROR(__xludf.DUMMYFUNCTION("VLOOKUP(A69,IMPORTRANGE(""https://docs.google.com/spreadsheets/d/1oJmkDK37Qizzdaxn4KCwh1BMwdNWuHCx3AGH8BC9yu0/edit?gid=781951868#gid=781951868"",""キャラ!D:F""),3,false)"),"わくわく アーニャ")</f>
        <v>わくわく アーニャ</v>
      </c>
      <c r="C69" s="255" t="s">
        <v>269</v>
      </c>
      <c r="D69" s="256">
        <f t="shared" si="4"/>
        <v>162</v>
      </c>
      <c r="E69" s="252">
        <f t="shared" si="5"/>
        <v>0.00173</v>
      </c>
      <c r="F69" s="257"/>
      <c r="G69" s="1"/>
      <c r="H69" s="206"/>
    </row>
    <row r="70">
      <c r="A70" s="248" t="s">
        <v>287</v>
      </c>
      <c r="B70" s="249" t="str">
        <f>IFERROR(__xludf.DUMMYFUNCTION("VLOOKUP(A70,IMPORTRANGE(""https://docs.google.com/spreadsheets/d/1oJmkDK37Qizzdaxn4KCwh1BMwdNWuHCx3AGH8BC9yu0/edit?gid=781951868#gid=781951868"",""キャラ!D:F""),3,false)"),"ターボババアの霊力 オカルン")</f>
        <v>ターボババアの霊力 オカルン</v>
      </c>
      <c r="C70" s="255" t="s">
        <v>269</v>
      </c>
      <c r="D70" s="256">
        <f t="shared" si="4"/>
        <v>162</v>
      </c>
      <c r="E70" s="252">
        <f t="shared" si="5"/>
        <v>0.00173</v>
      </c>
      <c r="F70" s="257"/>
      <c r="G70" s="1"/>
      <c r="H70" s="206"/>
    </row>
    <row r="71">
      <c r="A71" s="248" t="s">
        <v>288</v>
      </c>
      <c r="B71" s="249" t="str">
        <f>IFERROR(__xludf.DUMMYFUNCTION("VLOOKUP(A71,IMPORTRANGE(""https://docs.google.com/spreadsheets/d/1oJmkDK37Qizzdaxn4KCwh1BMwdNWuHCx3AGH8BC9yu0/edit?gid=781951868#gid=781951868"",""キャラ!D:F""),3,false)"),"囚われの王女 姫様")</f>
        <v>囚われの王女 姫様</v>
      </c>
      <c r="C71" s="255" t="s">
        <v>269</v>
      </c>
      <c r="D71" s="256">
        <f t="shared" si="4"/>
        <v>162</v>
      </c>
      <c r="E71" s="252">
        <f t="shared" si="5"/>
        <v>0.00173</v>
      </c>
      <c r="F71" s="257"/>
      <c r="G71" s="1"/>
      <c r="H71" s="206"/>
    </row>
    <row r="72">
      <c r="A72" s="248" t="s">
        <v>289</v>
      </c>
      <c r="B72" s="249" t="str">
        <f>IFERROR(__xludf.DUMMYFUNCTION("VLOOKUP(A72,IMPORTRANGE(""https://docs.google.com/spreadsheets/d/1oJmkDK37Qizzdaxn4KCwh1BMwdNWuHCx3AGH8BC9yu0/edit?gid=781951868#gid=781951868"",""キャラ!D:F""),3,false)"),"悪魔が恐れる悪魔 チェンソーマン")</f>
        <v>悪魔が恐れる悪魔 チェンソーマン</v>
      </c>
      <c r="C72" s="255" t="s">
        <v>269</v>
      </c>
      <c r="D72" s="256">
        <f t="shared" si="4"/>
        <v>162</v>
      </c>
      <c r="E72" s="252">
        <f t="shared" si="5"/>
        <v>0.00173</v>
      </c>
      <c r="F72" s="257"/>
      <c r="G72" s="1"/>
      <c r="H72" s="206"/>
    </row>
    <row r="73">
      <c r="A73" s="248" t="s">
        <v>290</v>
      </c>
      <c r="B73" s="249" t="str">
        <f>IFERROR(__xludf.DUMMYFUNCTION("VLOOKUP(A73,IMPORTRANGE(""https://docs.google.com/spreadsheets/d/1oJmkDK37Qizzdaxn4KCwh1BMwdNWuHCx3AGH8BC9yu0/edit?gid=781951868#gid=781951868"",""キャラ!D:F""),3,false)"),"隠された英雄の姿 怪獣８号")</f>
        <v>隠された英雄の姿 怪獣８号</v>
      </c>
      <c r="C73" s="255" t="s">
        <v>269</v>
      </c>
      <c r="D73" s="256">
        <f t="shared" si="4"/>
        <v>162</v>
      </c>
      <c r="E73" s="252">
        <f t="shared" si="5"/>
        <v>0.00173</v>
      </c>
      <c r="F73" s="257"/>
      <c r="G73" s="1"/>
      <c r="H73" s="206"/>
    </row>
    <row r="74">
      <c r="A74" s="248" t="s">
        <v>291</v>
      </c>
      <c r="B74" s="249" t="str">
        <f>IFERROR(__xludf.DUMMYFUNCTION("VLOOKUP(A74,IMPORTRANGE(""https://docs.google.com/spreadsheets/d/1oJmkDK37Qizzdaxn4KCwh1BMwdNWuHCx3AGH8BC9yu0/edit?gid=781951868#gid=781951868"",""キャラ!D:F""),3,false)"),"リリエルに捧ぐ愛 天乃 リリサ")</f>
        <v>リリエルに捧ぐ愛 天乃 リリサ</v>
      </c>
      <c r="C74" s="255" t="s">
        <v>269</v>
      </c>
      <c r="D74" s="256">
        <f t="shared" si="4"/>
        <v>162</v>
      </c>
      <c r="E74" s="252">
        <f t="shared" si="5"/>
        <v>0.00173</v>
      </c>
      <c r="F74" s="257"/>
      <c r="G74" s="1"/>
      <c r="H74" s="206"/>
    </row>
    <row r="75">
      <c r="A75" s="248" t="s">
        <v>292</v>
      </c>
      <c r="B75" s="249" t="str">
        <f>IFERROR(__xludf.DUMMYFUNCTION("VLOOKUP(A75,IMPORTRANGE(""https://docs.google.com/spreadsheets/d/1oJmkDK37Qizzdaxn4KCwh1BMwdNWuHCx3AGH8BC9yu0/edit?gid=781951868#gid=781951868"",""キャラ!D:F""),3,false)"),"コスプレに託す乙女心 橘 美花莉")</f>
        <v>コスプレに託す乙女心 橘 美花莉</v>
      </c>
      <c r="C75" s="255" t="s">
        <v>269</v>
      </c>
      <c r="D75" s="256">
        <f t="shared" si="4"/>
        <v>162</v>
      </c>
      <c r="E75" s="252">
        <f t="shared" si="5"/>
        <v>0.00173</v>
      </c>
      <c r="F75" s="257"/>
      <c r="G75" s="1"/>
      <c r="H75" s="206"/>
    </row>
    <row r="76">
      <c r="A76" s="248" t="s">
        <v>293</v>
      </c>
      <c r="B76" s="249" t="str">
        <f>IFERROR(__xludf.DUMMYFUNCTION("VLOOKUP(A76,IMPORTRANGE(""https://docs.google.com/spreadsheets/d/1oJmkDK37Qizzdaxn4KCwh1BMwdNWuHCx3AGH8BC9yu0/edit?gid=781951868#gid=781951868"",""キャラ!D:F""),3,false)"),"誇り高き魔都の剣姫 羽前 京香")</f>
        <v>誇り高き魔都の剣姫 羽前 京香</v>
      </c>
      <c r="C76" s="255" t="s">
        <v>269</v>
      </c>
      <c r="D76" s="256">
        <f t="shared" si="4"/>
        <v>162</v>
      </c>
      <c r="E76" s="252">
        <f t="shared" si="5"/>
        <v>0.00173</v>
      </c>
      <c r="F76" s="257"/>
      <c r="G76" s="1"/>
      <c r="H76" s="206"/>
    </row>
    <row r="77">
      <c r="A77" s="248" t="s">
        <v>294</v>
      </c>
      <c r="B77" s="249" t="str">
        <f>IFERROR(__xludf.DUMMYFUNCTION("VLOOKUP(A77,IMPORTRANGE(""https://docs.google.com/spreadsheets/d/1oJmkDK37Qizzdaxn4KCwh1BMwdNWuHCx3AGH8BC9yu0/edit?gid=781951868#gid=781951868"",""キャラ!D:F""),3,false)"),"がらんの画眉丸")</f>
        <v>がらんの画眉丸</v>
      </c>
      <c r="C77" s="255" t="s">
        <v>269</v>
      </c>
      <c r="D77" s="256">
        <f t="shared" si="4"/>
        <v>162</v>
      </c>
      <c r="E77" s="252">
        <f t="shared" si="5"/>
        <v>0.00173</v>
      </c>
      <c r="F77" s="257"/>
      <c r="G77" s="1"/>
      <c r="H77" s="206"/>
    </row>
    <row r="78">
      <c r="A78" s="248" t="s">
        <v>295</v>
      </c>
      <c r="B78" s="249" t="str">
        <f>IFERROR(__xludf.DUMMYFUNCTION("VLOOKUP(A78,IMPORTRANGE(""https://docs.google.com/spreadsheets/d/1oJmkDK37Qizzdaxn4KCwh1BMwdNWuHCx3AGH8BC9yu0/edit?gid=781951868#gid=781951868"",""キャラ!D:F""),3,false)"),"新人魔法少女 桜木 カナ")</f>
        <v>新人魔法少女 桜木 カナ</v>
      </c>
      <c r="C78" s="255" t="s">
        <v>269</v>
      </c>
      <c r="D78" s="256">
        <f t="shared" si="4"/>
        <v>162</v>
      </c>
      <c r="E78" s="252">
        <f t="shared" si="5"/>
        <v>0.00173</v>
      </c>
      <c r="F78" s="257"/>
      <c r="G78" s="1"/>
      <c r="H78" s="206"/>
    </row>
    <row r="79">
      <c r="A79" s="248" t="s">
        <v>296</v>
      </c>
      <c r="B79" s="249" t="str">
        <f>IFERROR(__xludf.DUMMYFUNCTION("VLOOKUP(A79,IMPORTRANGE(""https://docs.google.com/spreadsheets/d/1oJmkDK37Qizzdaxn4KCwh1BMwdNWuHCx3AGH8BC9yu0/edit?gid=781951868#gid=781951868"",""キャラ!D:F""),3,false)"),"影のウシオ 小舟 潮")</f>
        <v>影のウシオ 小舟 潮</v>
      </c>
      <c r="C79" s="255" t="s">
        <v>269</v>
      </c>
      <c r="D79" s="256">
        <f t="shared" si="4"/>
        <v>162</v>
      </c>
      <c r="E79" s="252">
        <f t="shared" si="5"/>
        <v>0.00173</v>
      </c>
      <c r="F79" s="264"/>
      <c r="G79" s="1"/>
      <c r="H79" s="206"/>
    </row>
    <row r="80">
      <c r="A80" s="248" t="s">
        <v>385</v>
      </c>
      <c r="B80" s="249" t="str">
        <f>IFERROR(__xludf.DUMMYFUNCTION("VLOOKUP(A80,IMPORTRANGE(""https://docs.google.com/spreadsheets/d/1oJmkDK37Qizzdaxn4KCwh1BMwdNWuHCx3AGH8BC9yu0/edit?gid=781951868#gid=781951868"",""キャラ!D:F""),3,false)"),"斉藤 ミヤコ")</f>
        <v>斉藤 ミヤコ</v>
      </c>
      <c r="C80" s="328" t="s">
        <v>388</v>
      </c>
      <c r="D80" s="266">
        <f t="shared" si="4"/>
        <v>1404</v>
      </c>
      <c r="E80" s="252">
        <f t="shared" ref="E80:E81" si="6">IFERROR(rounddown($F$80/$C$58,5),"0%")</f>
        <v>0.015</v>
      </c>
      <c r="F80" s="285">
        <v>0.03</v>
      </c>
      <c r="G80" s="1"/>
      <c r="H80" s="206"/>
    </row>
    <row r="81">
      <c r="A81" s="248" t="s">
        <v>387</v>
      </c>
      <c r="B81" s="249" t="str">
        <f>IFERROR(__xludf.DUMMYFUNCTION("VLOOKUP(A81,IMPORTRANGE(""https://docs.google.com/spreadsheets/d/1oJmkDK37Qizzdaxn4KCwh1BMwdNWuHCx3AGH8BC9yu0/edit?gid=781951868#gid=781951868"",""キャラ!D:F""),3,false)"),"祥龍院 隆子")</f>
        <v>祥龍院 隆子</v>
      </c>
      <c r="C81" s="328" t="s">
        <v>388</v>
      </c>
      <c r="D81" s="266">
        <f t="shared" si="4"/>
        <v>1404</v>
      </c>
      <c r="E81" s="252">
        <f t="shared" si="6"/>
        <v>0.015</v>
      </c>
      <c r="F81" s="257"/>
      <c r="G81" s="1"/>
      <c r="H81" s="206"/>
    </row>
    <row r="82">
      <c r="A82" s="263" t="s">
        <v>304</v>
      </c>
      <c r="B82" s="249" t="str">
        <f>IFERROR(__xludf.DUMMYFUNCTION("VLOOKUP(A82,IMPORTRANGE(""https://docs.google.com/spreadsheets/d/1oJmkDK37Qizzdaxn4KCwh1BMwdNWuHCx3AGH8BC9yu0/edit?gid=781951868#gid=781951868"",""キャラ!D:F""),3,false)"),"モモ")</f>
        <v>モモ</v>
      </c>
      <c r="C82" s="265" t="s">
        <v>270</v>
      </c>
      <c r="D82" s="266">
        <f t="shared" si="4"/>
        <v>728</v>
      </c>
      <c r="E82" s="252">
        <f t="shared" ref="E82:E90" si="7">IFERROR(rounddown($F$82/$C$59,5),"0%")</f>
        <v>0.00777</v>
      </c>
      <c r="F82" s="285">
        <v>0.07</v>
      </c>
      <c r="G82" s="1"/>
      <c r="H82" s="206"/>
    </row>
    <row r="83">
      <c r="A83" s="263" t="s">
        <v>305</v>
      </c>
      <c r="B83" s="249" t="str">
        <f>IFERROR(__xludf.DUMMYFUNCTION("VLOOKUP(A83,IMPORTRANGE(""https://docs.google.com/spreadsheets/d/1oJmkDK37Qizzdaxn4KCwh1BMwdNWuHCx3AGH8BC9yu0/edit?gid=781951868#gid=781951868"",""キャラ!D:F""),3,false)"),"早川 アキ")</f>
        <v>早川 アキ</v>
      </c>
      <c r="C83" s="265" t="s">
        <v>270</v>
      </c>
      <c r="D83" s="266">
        <f t="shared" si="4"/>
        <v>728</v>
      </c>
      <c r="E83" s="252">
        <f t="shared" si="7"/>
        <v>0.00777</v>
      </c>
      <c r="F83" s="257"/>
      <c r="G83" s="1"/>
      <c r="H83" s="206"/>
    </row>
    <row r="84">
      <c r="A84" s="263" t="s">
        <v>306</v>
      </c>
      <c r="B84" s="249" t="str">
        <f>IFERROR(__xludf.DUMMYFUNCTION("VLOOKUP(A84,IMPORTRANGE(""https://docs.google.com/spreadsheets/d/1oJmkDK37Qizzdaxn4KCwh1BMwdNWuHCx3AGH8BC9yu0/edit?gid=781951868#gid=781951868"",""キャラ!D:F""),3,false)"),"パワー")</f>
        <v>パワー</v>
      </c>
      <c r="C84" s="265" t="s">
        <v>270</v>
      </c>
      <c r="D84" s="266">
        <f t="shared" si="4"/>
        <v>728</v>
      </c>
      <c r="E84" s="252">
        <f t="shared" si="7"/>
        <v>0.00777</v>
      </c>
      <c r="F84" s="257"/>
      <c r="G84" s="1"/>
      <c r="H84" s="206"/>
    </row>
    <row r="85">
      <c r="A85" s="263" t="s">
        <v>307</v>
      </c>
      <c r="B85" s="249" t="str">
        <f>IFERROR(__xludf.DUMMYFUNCTION("VLOOKUP(A85,IMPORTRANGE(""https://docs.google.com/spreadsheets/d/1oJmkDK37Qizzdaxn4KCwh1BMwdNWuHCx3AGH8BC9yu0/edit?gid=781951868#gid=781951868"",""キャラ!D:F""),3,false)"),"四ノ宮 キコル")</f>
        <v>四ノ宮 キコル</v>
      </c>
      <c r="C85" s="265" t="s">
        <v>270</v>
      </c>
      <c r="D85" s="266">
        <f t="shared" si="4"/>
        <v>728</v>
      </c>
      <c r="E85" s="252">
        <f t="shared" si="7"/>
        <v>0.00777</v>
      </c>
      <c r="F85" s="257"/>
      <c r="G85" s="1"/>
      <c r="H85" s="206"/>
    </row>
    <row r="86">
      <c r="A86" s="263" t="s">
        <v>308</v>
      </c>
      <c r="B86" s="249" t="str">
        <f>IFERROR(__xludf.DUMMYFUNCTION("VLOOKUP(A86,IMPORTRANGE(""https://docs.google.com/spreadsheets/d/1oJmkDK37Qizzdaxn4KCwh1BMwdNWuHCx3AGH8BC9yu0/edit?gid=781951868#gid=781951868"",""キャラ!D:F""),3,false)"),"鴨乃橋 ロン")</f>
        <v>鴨乃橋 ロン</v>
      </c>
      <c r="C86" s="265" t="s">
        <v>270</v>
      </c>
      <c r="D86" s="266">
        <f t="shared" si="4"/>
        <v>728</v>
      </c>
      <c r="E86" s="252">
        <f t="shared" si="7"/>
        <v>0.00777</v>
      </c>
      <c r="F86" s="257"/>
      <c r="G86" s="1"/>
      <c r="H86" s="206"/>
    </row>
    <row r="87">
      <c r="A87" s="263" t="s">
        <v>309</v>
      </c>
      <c r="B87" s="249" t="str">
        <f>IFERROR(__xludf.DUMMYFUNCTION("VLOOKUP(A87,IMPORTRANGE(""https://docs.google.com/spreadsheets/d/1oJmkDK37Qizzdaxn4KCwh1BMwdNWuHCx3AGH8BC9yu0/edit?gid=781951868#gid=781951868"",""キャラ!D:F""),3,false)"),"阿波連 れいな")</f>
        <v>阿波連 れいな</v>
      </c>
      <c r="C87" s="265" t="s">
        <v>270</v>
      </c>
      <c r="D87" s="266">
        <f t="shared" si="4"/>
        <v>728</v>
      </c>
      <c r="E87" s="252">
        <f t="shared" si="7"/>
        <v>0.00777</v>
      </c>
      <c r="F87" s="257"/>
      <c r="G87" s="1"/>
      <c r="H87" s="206"/>
    </row>
    <row r="88">
      <c r="A88" s="263" t="s">
        <v>310</v>
      </c>
      <c r="B88" s="249" t="str">
        <f>IFERROR(__xludf.DUMMYFUNCTION("VLOOKUP(A88,IMPORTRANGE(""https://docs.google.com/spreadsheets/d/1oJmkDK37Qizzdaxn4KCwh1BMwdNWuHCx3AGH8BC9yu0/edit?gid=781951868#gid=781951868"",""キャラ!D:F""),3,false)"),"山田浅ェ門 佐切")</f>
        <v>山田浅ェ門 佐切</v>
      </c>
      <c r="C88" s="265" t="s">
        <v>270</v>
      </c>
      <c r="D88" s="266">
        <f t="shared" si="4"/>
        <v>728</v>
      </c>
      <c r="E88" s="252">
        <f t="shared" si="7"/>
        <v>0.00777</v>
      </c>
      <c r="F88" s="257"/>
      <c r="G88" s="7"/>
      <c r="H88" s="206"/>
    </row>
    <row r="89">
      <c r="A89" s="263" t="s">
        <v>311</v>
      </c>
      <c r="B89" s="249" t="str">
        <f>IFERROR(__xludf.DUMMYFUNCTION("VLOOKUP(A89,IMPORTRANGE(""https://docs.google.com/spreadsheets/d/1oJmkDK37Qizzdaxn4KCwh1BMwdNWuHCx3AGH8BC9yu0/edit?gid=781951868#gid=781951868"",""キャラ!D:F""),3,false)"),"冬木 美波")</f>
        <v>冬木 美波</v>
      </c>
      <c r="C89" s="265" t="s">
        <v>270</v>
      </c>
      <c r="D89" s="266">
        <f t="shared" si="4"/>
        <v>728</v>
      </c>
      <c r="E89" s="252">
        <f t="shared" si="7"/>
        <v>0.00777</v>
      </c>
      <c r="F89" s="257"/>
      <c r="G89" s="1"/>
      <c r="H89" s="206"/>
    </row>
    <row r="90">
      <c r="A90" s="263" t="s">
        <v>312</v>
      </c>
      <c r="B90" s="249" t="str">
        <f>IFERROR(__xludf.DUMMYFUNCTION("VLOOKUP(A90,IMPORTRANGE(""https://docs.google.com/spreadsheets/d/1oJmkDK37Qizzdaxn4KCwh1BMwdNWuHCx3AGH8BC9yu0/edit?gid=781951868#gid=781951868"",""キャラ!D:F""),3,false)"),"秋野 沙友理")</f>
        <v>秋野 沙友理</v>
      </c>
      <c r="C90" s="265" t="s">
        <v>270</v>
      </c>
      <c r="D90" s="266">
        <f t="shared" si="4"/>
        <v>728</v>
      </c>
      <c r="E90" s="252">
        <f t="shared" si="7"/>
        <v>0.00777</v>
      </c>
      <c r="F90" s="264"/>
      <c r="G90" s="1"/>
      <c r="H90" s="206"/>
    </row>
    <row r="91">
      <c r="A91" s="248" t="s">
        <v>313</v>
      </c>
      <c r="B91" s="249" t="str">
        <f>IFERROR(__xludf.DUMMYFUNCTION("VLOOKUP(A91,IMPORTRANGE(""https://docs.google.com/spreadsheets/d/1oJmkDK37Qizzdaxn4KCwh1BMwdNWuHCx3AGH8BC9yu0/edit?gid=781951868#gid=781951868"",""キャラ!D:F""),3,false)"),"トーチャー・トルチュール")</f>
        <v>トーチャー・トルチュール</v>
      </c>
      <c r="C91" s="268" t="s">
        <v>271</v>
      </c>
      <c r="D91" s="266">
        <f t="shared" si="4"/>
        <v>3276</v>
      </c>
      <c r="E91" s="252">
        <f t="shared" ref="E91:E100" si="8">IFERROR(rounddown($F$91/$C$60,5),"0%")</f>
        <v>0.035</v>
      </c>
      <c r="F91" s="253">
        <v>0.35</v>
      </c>
      <c r="G91" s="1"/>
      <c r="H91" s="206"/>
    </row>
    <row r="92">
      <c r="A92" s="248" t="s">
        <v>314</v>
      </c>
      <c r="B92" s="249" t="str">
        <f>IFERROR(__xludf.DUMMYFUNCTION("VLOOKUP(A92,IMPORTRANGE(""https://docs.google.com/spreadsheets/d/1oJmkDK37Qizzdaxn4KCwh1BMwdNWuHCx3AGH8BC9yu0/edit?gid=781951868#gid=781951868"",""キャラ!D:F""),3,false)"),"清峰 葉流火")</f>
        <v>清峰 葉流火</v>
      </c>
      <c r="C92" s="268" t="s">
        <v>271</v>
      </c>
      <c r="D92" s="266">
        <f t="shared" si="4"/>
        <v>3276</v>
      </c>
      <c r="E92" s="252">
        <f t="shared" si="8"/>
        <v>0.035</v>
      </c>
      <c r="F92" s="257"/>
      <c r="G92" s="1"/>
      <c r="H92" s="206"/>
    </row>
    <row r="93">
      <c r="A93" s="248" t="s">
        <v>315</v>
      </c>
      <c r="B93" s="249" t="str">
        <f>IFERROR(__xludf.DUMMYFUNCTION("VLOOKUP(A93,IMPORTRANGE(""https://docs.google.com/spreadsheets/d/1oJmkDK37Qizzdaxn4KCwh1BMwdNWuHCx3AGH8BC9yu0/edit?gid=781951868#gid=781951868"",""キャラ!D:F""),3,false)"),"要 圭")</f>
        <v>要 圭</v>
      </c>
      <c r="C93" s="268" t="s">
        <v>271</v>
      </c>
      <c r="D93" s="266">
        <f t="shared" si="4"/>
        <v>3276</v>
      </c>
      <c r="E93" s="252">
        <f t="shared" si="8"/>
        <v>0.035</v>
      </c>
      <c r="F93" s="257"/>
      <c r="G93" s="1"/>
      <c r="H93" s="206"/>
    </row>
    <row r="94">
      <c r="A94" s="248" t="s">
        <v>316</v>
      </c>
      <c r="B94" s="249" t="str">
        <f>IFERROR(__xludf.DUMMYFUNCTION("VLOOKUP(A94,IMPORTRANGE(""https://docs.google.com/spreadsheets/d/1oJmkDK37Qizzdaxn4KCwh1BMwdNWuHCx3AGH8BC9yu0/edit?gid=781951868#gid=781951868"",""キャラ!D:F""),3,false)"),"市川 レノ")</f>
        <v>市川 レノ</v>
      </c>
      <c r="C94" s="268" t="s">
        <v>271</v>
      </c>
      <c r="D94" s="266">
        <f t="shared" si="4"/>
        <v>3276</v>
      </c>
      <c r="E94" s="252">
        <f t="shared" si="8"/>
        <v>0.035</v>
      </c>
      <c r="F94" s="257"/>
      <c r="G94" s="1"/>
      <c r="H94" s="206"/>
    </row>
    <row r="95">
      <c r="A95" s="248" t="s">
        <v>317</v>
      </c>
      <c r="B95" s="249" t="str">
        <f>IFERROR(__xludf.DUMMYFUNCTION("VLOOKUP(A95,IMPORTRANGE(""https://docs.google.com/spreadsheets/d/1oJmkDK37Qizzdaxn4KCwh1BMwdNWuHCx3AGH8BC9yu0/edit?gid=781951868#gid=781951868"",""キャラ!D:F""),3,false)"),"東 日万凛")</f>
        <v>東 日万凛</v>
      </c>
      <c r="C95" s="268" t="s">
        <v>271</v>
      </c>
      <c r="D95" s="266">
        <f t="shared" si="4"/>
        <v>3276</v>
      </c>
      <c r="E95" s="252">
        <f t="shared" si="8"/>
        <v>0.035</v>
      </c>
      <c r="F95" s="257"/>
      <c r="G95" s="1"/>
      <c r="H95" s="206"/>
    </row>
    <row r="96">
      <c r="A96" s="248" t="s">
        <v>318</v>
      </c>
      <c r="B96" s="249" t="str">
        <f>IFERROR(__xludf.DUMMYFUNCTION("VLOOKUP(A96,IMPORTRANGE(""https://docs.google.com/spreadsheets/d/1oJmkDK37Qizzdaxn4KCwh1BMwdNWuHCx3AGH8BC9yu0/edit?gid=781951868#gid=781951868"",""キャラ!D:F""),3,false)"),"駿河 朱々")</f>
        <v>駿河 朱々</v>
      </c>
      <c r="C96" s="268" t="s">
        <v>271</v>
      </c>
      <c r="D96" s="266">
        <f t="shared" si="4"/>
        <v>3276</v>
      </c>
      <c r="E96" s="252">
        <f t="shared" si="8"/>
        <v>0.035</v>
      </c>
      <c r="F96" s="257"/>
      <c r="G96" s="1"/>
      <c r="H96" s="206"/>
    </row>
    <row r="97">
      <c r="A97" s="248" t="s">
        <v>319</v>
      </c>
      <c r="B97" s="249" t="str">
        <f>IFERROR(__xludf.DUMMYFUNCTION("VLOOKUP(A97,IMPORTRANGE(""https://docs.google.com/spreadsheets/d/1oJmkDK37Qizzdaxn4KCwh1BMwdNWuHCx3AGH8BC9yu0/edit?gid=781951868#gid=781951868"",""キャラ!D:F""),3,false)"),"ライドウ")</f>
        <v>ライドウ</v>
      </c>
      <c r="C97" s="268" t="s">
        <v>271</v>
      </c>
      <c r="D97" s="266">
        <f t="shared" si="4"/>
        <v>3276</v>
      </c>
      <c r="E97" s="252">
        <f t="shared" si="8"/>
        <v>0.035</v>
      </c>
      <c r="F97" s="257"/>
      <c r="G97" s="1"/>
      <c r="H97" s="206"/>
    </row>
    <row r="98">
      <c r="A98" s="248" t="s">
        <v>320</v>
      </c>
      <c r="B98" s="249" t="str">
        <f>IFERROR(__xludf.DUMMYFUNCTION("VLOOKUP(A98,IMPORTRANGE(""https://docs.google.com/spreadsheets/d/1oJmkDK37Qizzdaxn4KCwh1BMwdNWuHCx3AGH8BC9yu0/edit?gid=781951868#gid=781951868"",""キャラ!D:F""),3,false)"),"山田浅ェ門 仙汰")</f>
        <v>山田浅ェ門 仙汰</v>
      </c>
      <c r="C98" s="268" t="s">
        <v>271</v>
      </c>
      <c r="D98" s="266">
        <f t="shared" si="4"/>
        <v>3276</v>
      </c>
      <c r="E98" s="252">
        <f t="shared" si="8"/>
        <v>0.035</v>
      </c>
      <c r="F98" s="257"/>
      <c r="G98" s="1"/>
      <c r="H98" s="206"/>
    </row>
    <row r="99">
      <c r="A99" s="248" t="s">
        <v>321</v>
      </c>
      <c r="B99" s="249" t="str">
        <f>IFERROR(__xludf.DUMMYFUNCTION("VLOOKUP(A99,IMPORTRANGE(""https://docs.google.com/spreadsheets/d/1oJmkDK37Qizzdaxn4KCwh1BMwdNWuHCx3AGH8BC9yu0/edit?gid=781951868#gid=781951868"",""キャラ!D:F""),3,false)"),"越谷 仁美")</f>
        <v>越谷 仁美</v>
      </c>
      <c r="C99" s="268" t="s">
        <v>271</v>
      </c>
      <c r="D99" s="266">
        <f t="shared" si="4"/>
        <v>3276</v>
      </c>
      <c r="E99" s="252">
        <f t="shared" si="8"/>
        <v>0.035</v>
      </c>
      <c r="F99" s="257"/>
      <c r="G99" s="1"/>
      <c r="H99" s="206"/>
    </row>
    <row r="100">
      <c r="A100" s="248" t="s">
        <v>322</v>
      </c>
      <c r="B100" s="249" t="str">
        <f>IFERROR(__xludf.DUMMYFUNCTION("VLOOKUP(A100,IMPORTRANGE(""https://docs.google.com/spreadsheets/d/1oJmkDK37Qizzdaxn4KCwh1BMwdNWuHCx3AGH8BC9yu0/edit?gid=781951868#gid=781951868"",""キャラ!D:F""),3,false)"),"小舟 澪")</f>
        <v>小舟 澪</v>
      </c>
      <c r="C100" s="268" t="s">
        <v>271</v>
      </c>
      <c r="D100" s="266">
        <f t="shared" si="4"/>
        <v>3276</v>
      </c>
      <c r="E100" s="252">
        <f t="shared" si="8"/>
        <v>0.035</v>
      </c>
      <c r="F100" s="264"/>
      <c r="G100" s="1"/>
      <c r="H100" s="206"/>
    </row>
    <row r="101">
      <c r="A101" s="248" t="s">
        <v>323</v>
      </c>
      <c r="B101" s="249" t="str">
        <f>IFERROR(__xludf.DUMMYFUNCTION("VLOOKUP(A101,IMPORTRANGE(""https://docs.google.com/spreadsheets/d/1oJmkDK37Qizzdaxn4KCwh1BMwdNWuHCx3AGH8BC9yu0/edit?gid=781951868#gid=781951868"",""キャラ!D:F""),3,false)"),"佐々木")</f>
        <v>佐々木</v>
      </c>
      <c r="C101" s="269" t="s">
        <v>272</v>
      </c>
      <c r="D101" s="266">
        <f t="shared" si="4"/>
        <v>5408</v>
      </c>
      <c r="E101" s="252">
        <f t="shared" ref="E101:E109" si="9">IFERROR(rounddown($F$101/$C$61,5),"0%")</f>
        <v>0.05777</v>
      </c>
      <c r="F101" s="253">
        <v>0.52</v>
      </c>
      <c r="G101" s="1"/>
      <c r="H101" s="206"/>
    </row>
    <row r="102">
      <c r="A102" s="248" t="s">
        <v>324</v>
      </c>
      <c r="B102" s="249" t="str">
        <f>IFERROR(__xludf.DUMMYFUNCTION("VLOOKUP(A102,IMPORTRANGE(""https://docs.google.com/spreadsheets/d/1oJmkDK37Qizzdaxn4KCwh1BMwdNWuHCx3AGH8BC9yu0/edit?gid=781951868#gid=781951868"",""キャラ!D:F""),3,false)"),"文蔵")</f>
        <v>文蔵</v>
      </c>
      <c r="C102" s="269" t="s">
        <v>272</v>
      </c>
      <c r="D102" s="266">
        <f t="shared" si="4"/>
        <v>5408</v>
      </c>
      <c r="E102" s="252">
        <f t="shared" si="9"/>
        <v>0.05777</v>
      </c>
      <c r="F102" s="257"/>
      <c r="G102" s="1"/>
      <c r="H102" s="206"/>
    </row>
    <row r="103">
      <c r="A103" s="248" t="s">
        <v>325</v>
      </c>
      <c r="B103" s="249" t="str">
        <f>IFERROR(__xludf.DUMMYFUNCTION("VLOOKUP(A103,IMPORTRANGE(""https://docs.google.com/spreadsheets/d/1oJmkDK37Qizzdaxn4KCwh1BMwdNWuHCx3AGH8BC9yu0/edit?gid=781951868#gid=781951868"",""キャラ!D:F""),3,false)"),"リコピン")</f>
        <v>リコピン</v>
      </c>
      <c r="C103" s="269" t="s">
        <v>272</v>
      </c>
      <c r="D103" s="266">
        <f t="shared" si="4"/>
        <v>5408</v>
      </c>
      <c r="E103" s="252">
        <f t="shared" si="9"/>
        <v>0.05777</v>
      </c>
      <c r="F103" s="257"/>
      <c r="G103" s="1"/>
      <c r="H103" s="206"/>
    </row>
    <row r="104">
      <c r="A104" s="248" t="s">
        <v>326</v>
      </c>
      <c r="B104" s="249" t="str">
        <f>IFERROR(__xludf.DUMMYFUNCTION("VLOOKUP(A104,IMPORTRANGE(""https://docs.google.com/spreadsheets/d/1oJmkDK37Qizzdaxn4KCwh1BMwdNWuHCx3AGH8BC9yu0/edit?gid=781951868#gid=781951868"",""キャラ!D:F""),3,false)"),"一色 都々丸")</f>
        <v>一色 都々丸</v>
      </c>
      <c r="C104" s="269" t="s">
        <v>272</v>
      </c>
      <c r="D104" s="266">
        <f t="shared" si="4"/>
        <v>5408</v>
      </c>
      <c r="E104" s="252">
        <f t="shared" si="9"/>
        <v>0.05777</v>
      </c>
      <c r="F104" s="257"/>
      <c r="G104" s="1"/>
      <c r="H104" s="206"/>
    </row>
    <row r="105">
      <c r="A105" s="248" t="s">
        <v>327</v>
      </c>
      <c r="B105" s="249" t="str">
        <f>IFERROR(__xludf.DUMMYFUNCTION("VLOOKUP(A105,IMPORTRANGE(""https://docs.google.com/spreadsheets/d/1oJmkDK37Qizzdaxn4KCwh1BMwdNWuHCx3AGH8BC9yu0/edit?gid=781951868#gid=781951868"",""キャラ!D:F""),3,false)"),"オカルン")</f>
        <v>オカルン</v>
      </c>
      <c r="C105" s="269" t="s">
        <v>272</v>
      </c>
      <c r="D105" s="266">
        <f t="shared" si="4"/>
        <v>5408</v>
      </c>
      <c r="E105" s="252">
        <f t="shared" si="9"/>
        <v>0.05777</v>
      </c>
      <c r="F105" s="257"/>
      <c r="G105" s="1"/>
      <c r="H105" s="206"/>
    </row>
    <row r="106">
      <c r="A106" s="248" t="s">
        <v>328</v>
      </c>
      <c r="B106" s="249" t="str">
        <f>IFERROR(__xludf.DUMMYFUNCTION("VLOOKUP(A106,IMPORTRANGE(""https://docs.google.com/spreadsheets/d/1oJmkDK37Qizzdaxn4KCwh1BMwdNWuHCx3AGH8BC9yu0/edit?gid=781951868#gid=781951868"",""キャラ!D:F""),3,false)"),"デンジ")</f>
        <v>デンジ</v>
      </c>
      <c r="C106" s="269" t="s">
        <v>272</v>
      </c>
      <c r="D106" s="266">
        <f t="shared" si="4"/>
        <v>5408</v>
      </c>
      <c r="E106" s="252">
        <f t="shared" si="9"/>
        <v>0.05777</v>
      </c>
      <c r="F106" s="257"/>
      <c r="G106" s="1"/>
      <c r="H106" s="206"/>
    </row>
    <row r="107">
      <c r="A107" s="248" t="s">
        <v>329</v>
      </c>
      <c r="B107" s="249" t="str">
        <f>IFERROR(__xludf.DUMMYFUNCTION("VLOOKUP(A107,IMPORTRANGE(""https://docs.google.com/spreadsheets/d/1oJmkDK37Qizzdaxn4KCwh1BMwdNWuHCx3AGH8BC9yu0/edit?gid=781951868#gid=781951868"",""キャラ!D:F""),3,false)"),"日比野 カフカ")</f>
        <v>日比野 カフカ</v>
      </c>
      <c r="C107" s="269" t="s">
        <v>272</v>
      </c>
      <c r="D107" s="266">
        <f t="shared" si="4"/>
        <v>5408</v>
      </c>
      <c r="E107" s="252">
        <f t="shared" si="9"/>
        <v>0.05777</v>
      </c>
      <c r="F107" s="257"/>
      <c r="G107" s="1"/>
      <c r="H107" s="1"/>
    </row>
    <row r="108">
      <c r="A108" s="248" t="s">
        <v>330</v>
      </c>
      <c r="B108" s="249" t="str">
        <f>IFERROR(__xludf.DUMMYFUNCTION("VLOOKUP(A108,IMPORTRANGE(""https://docs.google.com/spreadsheets/d/1oJmkDK37Qizzdaxn4KCwh1BMwdNWuHCx3AGH8BC9yu0/edit?gid=781951868#gid=781951868"",""キャラ!D:F""),3,false)"),"和倉 優希")</f>
        <v>和倉 優希</v>
      </c>
      <c r="C108" s="269" t="s">
        <v>272</v>
      </c>
      <c r="D108" s="266">
        <f t="shared" si="4"/>
        <v>5408</v>
      </c>
      <c r="E108" s="252">
        <f t="shared" si="9"/>
        <v>0.05777</v>
      </c>
      <c r="F108" s="257"/>
      <c r="G108" s="1"/>
      <c r="H108" s="1"/>
    </row>
    <row r="109">
      <c r="A109" s="248" t="s">
        <v>331</v>
      </c>
      <c r="B109" s="249" t="str">
        <f>IFERROR(__xludf.DUMMYFUNCTION("VLOOKUP(A109,IMPORTRANGE(""https://docs.google.com/spreadsheets/d/1oJmkDK37Qizzdaxn4KCwh1BMwdNWuHCx3AGH8BC9yu0/edit?gid=781951868#gid=781951868"",""キャラ!D:F""),3,false)"),"網代 慎平")</f>
        <v>網代 慎平</v>
      </c>
      <c r="C109" s="269" t="s">
        <v>272</v>
      </c>
      <c r="D109" s="266">
        <f t="shared" si="4"/>
        <v>5408</v>
      </c>
      <c r="E109" s="252">
        <f t="shared" si="9"/>
        <v>0.05777</v>
      </c>
      <c r="F109" s="264"/>
      <c r="G109" s="1"/>
      <c r="H109" s="1"/>
    </row>
    <row r="110">
      <c r="A110" s="68"/>
      <c r="B110" s="68"/>
      <c r="C110" s="68"/>
      <c r="D110" s="1"/>
      <c r="E110" s="270">
        <f t="shared" ref="E110:F110" si="10">sum(E66:E109)</f>
        <v>0.99985</v>
      </c>
      <c r="F110" s="271">
        <f t="shared" si="10"/>
        <v>1</v>
      </c>
      <c r="G110" s="1"/>
      <c r="H110" s="1"/>
    </row>
    <row r="111">
      <c r="A111" s="68"/>
      <c r="B111" s="68"/>
      <c r="C111" s="68"/>
      <c r="D111" s="1"/>
      <c r="E111" s="130"/>
      <c r="F111" s="272"/>
      <c r="G111" s="1"/>
      <c r="H111" s="1"/>
    </row>
    <row r="112">
      <c r="A112" s="227" t="s">
        <v>390</v>
      </c>
      <c r="B112" s="203"/>
      <c r="C112" s="203"/>
      <c r="D112" s="204"/>
      <c r="E112" s="274"/>
      <c r="F112" s="275"/>
      <c r="G112" s="204"/>
      <c r="H112" s="205"/>
    </row>
    <row r="113">
      <c r="A113" s="68"/>
      <c r="B113" s="68"/>
      <c r="C113" s="68"/>
      <c r="D113" s="1"/>
      <c r="E113" s="130"/>
      <c r="F113" s="272"/>
      <c r="G113" s="1"/>
      <c r="H113" s="206"/>
    </row>
    <row r="114">
      <c r="A114" s="68"/>
      <c r="B114" s="276" t="s">
        <v>264</v>
      </c>
      <c r="C114" s="276" t="s">
        <v>265</v>
      </c>
      <c r="D114" s="229" t="s">
        <v>266</v>
      </c>
      <c r="E114" s="277" t="s">
        <v>267</v>
      </c>
      <c r="F114" s="272"/>
      <c r="G114" s="1"/>
      <c r="H114" s="206"/>
    </row>
    <row r="115">
      <c r="A115" s="68" t="s">
        <v>268</v>
      </c>
      <c r="B115" s="230">
        <v>0.0075</v>
      </c>
      <c r="C115" s="278">
        <f t="shared" ref="C115:C119" si="11">countif($C$125:$C$159,A115)</f>
        <v>1</v>
      </c>
      <c r="D115" s="232">
        <f t="shared" ref="D115:D119" si="12">$D$121*B115</f>
        <v>1755</v>
      </c>
      <c r="E115" s="233">
        <f t="shared" ref="E115:E119" si="13">IFERROR(D115/C115,"0")</f>
        <v>1755</v>
      </c>
      <c r="F115" s="272"/>
      <c r="G115" s="1"/>
      <c r="H115" s="206"/>
    </row>
    <row r="116">
      <c r="A116" s="68" t="s">
        <v>269</v>
      </c>
      <c r="B116" s="234">
        <v>0.0225</v>
      </c>
      <c r="C116" s="278">
        <f t="shared" si="11"/>
        <v>13</v>
      </c>
      <c r="D116" s="232">
        <f t="shared" si="12"/>
        <v>5265</v>
      </c>
      <c r="E116" s="233">
        <f t="shared" si="13"/>
        <v>405</v>
      </c>
      <c r="F116" s="272"/>
      <c r="G116" s="1"/>
      <c r="H116" s="206"/>
    </row>
    <row r="117">
      <c r="A117" s="68" t="s">
        <v>388</v>
      </c>
      <c r="B117" s="321">
        <v>0.03</v>
      </c>
      <c r="C117" s="278">
        <f t="shared" si="11"/>
        <v>2</v>
      </c>
      <c r="D117" s="232">
        <f t="shared" si="12"/>
        <v>7020</v>
      </c>
      <c r="E117" s="233">
        <f t="shared" si="13"/>
        <v>3510</v>
      </c>
      <c r="F117" s="272"/>
      <c r="G117" s="1"/>
      <c r="H117" s="206"/>
    </row>
    <row r="118">
      <c r="A118" s="68" t="s">
        <v>270</v>
      </c>
      <c r="B118" s="322">
        <v>0.07</v>
      </c>
      <c r="C118" s="278">
        <f t="shared" si="11"/>
        <v>9</v>
      </c>
      <c r="D118" s="232">
        <f t="shared" si="12"/>
        <v>16380</v>
      </c>
      <c r="E118" s="233">
        <f t="shared" si="13"/>
        <v>1820</v>
      </c>
      <c r="F118" s="272"/>
      <c r="G118" s="1"/>
      <c r="H118" s="206"/>
    </row>
    <row r="119">
      <c r="A119" s="68" t="s">
        <v>271</v>
      </c>
      <c r="B119" s="234">
        <v>0.87</v>
      </c>
      <c r="C119" s="278">
        <f t="shared" si="11"/>
        <v>10</v>
      </c>
      <c r="D119" s="232">
        <f t="shared" si="12"/>
        <v>203580</v>
      </c>
      <c r="E119" s="233">
        <f t="shared" si="13"/>
        <v>20358</v>
      </c>
      <c r="F119" s="272"/>
      <c r="G119" s="1"/>
      <c r="H119" s="206"/>
    </row>
    <row r="120">
      <c r="A120" s="280"/>
      <c r="B120" s="281"/>
      <c r="C120" s="68"/>
      <c r="D120" s="282"/>
      <c r="E120" s="241"/>
      <c r="F120" s="272"/>
      <c r="G120" s="1"/>
      <c r="H120" s="206"/>
    </row>
    <row r="121">
      <c r="A121" s="278" t="s">
        <v>93</v>
      </c>
      <c r="B121" s="238">
        <f t="shared" ref="B121:C121" si="14">sum(B115:B120)</f>
        <v>1</v>
      </c>
      <c r="C121" s="283">
        <f t="shared" si="14"/>
        <v>35</v>
      </c>
      <c r="D121" s="323">
        <v>234000.0</v>
      </c>
      <c r="E121" s="130"/>
      <c r="F121" s="272"/>
      <c r="G121" s="1"/>
      <c r="H121" s="206"/>
    </row>
    <row r="122">
      <c r="A122" s="68"/>
      <c r="B122" s="68"/>
      <c r="C122" s="278">
        <f>COUNTA(C125:C159)</f>
        <v>35</v>
      </c>
      <c r="D122" s="1"/>
      <c r="E122" s="130"/>
      <c r="F122" s="272"/>
      <c r="G122" s="1"/>
      <c r="H122" s="206"/>
    </row>
    <row r="123">
      <c r="A123" s="68"/>
      <c r="B123" s="68"/>
      <c r="C123" s="68"/>
      <c r="D123" s="1"/>
      <c r="E123" s="130"/>
      <c r="F123" s="272"/>
      <c r="G123" s="1"/>
      <c r="H123" s="206"/>
    </row>
    <row r="124">
      <c r="A124" s="243" t="s">
        <v>273</v>
      </c>
      <c r="B124" s="243" t="s">
        <v>274</v>
      </c>
      <c r="C124" s="243" t="s">
        <v>364</v>
      </c>
      <c r="D124" s="329" t="s">
        <v>276</v>
      </c>
      <c r="E124" s="247" t="s">
        <v>277</v>
      </c>
      <c r="F124" s="316" t="s">
        <v>278</v>
      </c>
      <c r="G124" s="1"/>
      <c r="H124" s="206"/>
    </row>
    <row r="125">
      <c r="A125" s="248" t="s">
        <v>383</v>
      </c>
      <c r="B125" s="249" t="str">
        <f>IFERROR(__xludf.DUMMYFUNCTION("VLOOKUP(A125,IMPORTRANGE(""https://docs.google.com/spreadsheets/d/1oJmkDK37Qizzdaxn4KCwh1BMwdNWuHCx3AGH8BC9yu0/edit?gid=781951868#gid=781951868"",""キャラ!D:F""),3,false)"),"識別怪獣兵器6 市川 レノ")</f>
        <v>識別怪獣兵器6 市川 レノ</v>
      </c>
      <c r="C125" s="250" t="s">
        <v>268</v>
      </c>
      <c r="D125" s="251">
        <f t="shared" ref="D125:D159" si="15">vlookup(C125,$A$115:$D$120,4,false)/vlookup(C125,$A$115:$D$120,3,false)</f>
        <v>1755</v>
      </c>
      <c r="E125" s="252">
        <f>IFERROR(rounddown(F125/$C$115,5),"0%")</f>
        <v>0.0075</v>
      </c>
      <c r="F125" s="253">
        <v>0.0075</v>
      </c>
      <c r="G125" s="1" t="s">
        <v>389</v>
      </c>
      <c r="H125" s="206"/>
    </row>
    <row r="126">
      <c r="A126" s="248" t="s">
        <v>284</v>
      </c>
      <c r="B126" s="249" t="str">
        <f>IFERROR(__xludf.DUMMYFUNCTION("VLOOKUP(A126,IMPORTRANGE(""https://docs.google.com/spreadsheets/d/1oJmkDK37Qizzdaxn4KCwh1BMwdNWuHCx3AGH8BC9yu0/edit?gid=781951868#gid=781951868"",""キャラ!D:F""),3,false)"),"&lt;黄昏&gt; ロイド")</f>
        <v>&lt;黄昏&gt; ロイド</v>
      </c>
      <c r="C126" s="255" t="s">
        <v>269</v>
      </c>
      <c r="D126" s="251">
        <f t="shared" si="15"/>
        <v>405</v>
      </c>
      <c r="E126" s="252">
        <f t="shared" ref="E126:E138" si="16">IFERROR(rounddown($F$126/$C$116,5),"0%")</f>
        <v>0.00173</v>
      </c>
      <c r="F126" s="253">
        <v>0.0225</v>
      </c>
      <c r="G126" s="1"/>
      <c r="H126" s="206"/>
    </row>
    <row r="127">
      <c r="A127" s="248" t="s">
        <v>285</v>
      </c>
      <c r="B127" s="249" t="str">
        <f>IFERROR(__xludf.DUMMYFUNCTION("VLOOKUP(A127,IMPORTRANGE(""https://docs.google.com/spreadsheets/d/1oJmkDK37Qizzdaxn4KCwh1BMwdNWuHCx3AGH8BC9yu0/edit?gid=781951868#gid=781951868"",""キャラ!D:F""),3,false)"),"&lt;いばら姫&gt; ヨル")</f>
        <v>&lt;いばら姫&gt; ヨル</v>
      </c>
      <c r="C127" s="255" t="s">
        <v>269</v>
      </c>
      <c r="D127" s="251">
        <f t="shared" si="15"/>
        <v>405</v>
      </c>
      <c r="E127" s="252">
        <f t="shared" si="16"/>
        <v>0.00173</v>
      </c>
      <c r="F127" s="257"/>
      <c r="G127" s="1"/>
      <c r="H127" s="206"/>
    </row>
    <row r="128">
      <c r="A128" s="248" t="s">
        <v>286</v>
      </c>
      <c r="B128" s="249" t="str">
        <f>IFERROR(__xludf.DUMMYFUNCTION("VLOOKUP(A128,IMPORTRANGE(""https://docs.google.com/spreadsheets/d/1oJmkDK37Qizzdaxn4KCwh1BMwdNWuHCx3AGH8BC9yu0/edit?gid=781951868#gid=781951868"",""キャラ!D:F""),3,false)"),"わくわく アーニャ")</f>
        <v>わくわく アーニャ</v>
      </c>
      <c r="C128" s="255" t="s">
        <v>269</v>
      </c>
      <c r="D128" s="251">
        <f t="shared" si="15"/>
        <v>405</v>
      </c>
      <c r="E128" s="252">
        <f t="shared" si="16"/>
        <v>0.00173</v>
      </c>
      <c r="F128" s="257"/>
      <c r="G128" s="1"/>
      <c r="H128" s="206"/>
    </row>
    <row r="129">
      <c r="A129" s="248" t="s">
        <v>287</v>
      </c>
      <c r="B129" s="249" t="str">
        <f>IFERROR(__xludf.DUMMYFUNCTION("VLOOKUP(A129,IMPORTRANGE(""https://docs.google.com/spreadsheets/d/1oJmkDK37Qizzdaxn4KCwh1BMwdNWuHCx3AGH8BC9yu0/edit?gid=781951868#gid=781951868"",""キャラ!D:F""),3,false)"),"ターボババアの霊力 オカルン")</f>
        <v>ターボババアの霊力 オカルン</v>
      </c>
      <c r="C129" s="255" t="s">
        <v>269</v>
      </c>
      <c r="D129" s="251">
        <f t="shared" si="15"/>
        <v>405</v>
      </c>
      <c r="E129" s="252">
        <f t="shared" si="16"/>
        <v>0.00173</v>
      </c>
      <c r="F129" s="257"/>
      <c r="G129" s="1"/>
      <c r="H129" s="206"/>
    </row>
    <row r="130">
      <c r="A130" s="248" t="s">
        <v>288</v>
      </c>
      <c r="B130" s="249" t="str">
        <f>IFERROR(__xludf.DUMMYFUNCTION("VLOOKUP(A130,IMPORTRANGE(""https://docs.google.com/spreadsheets/d/1oJmkDK37Qizzdaxn4KCwh1BMwdNWuHCx3AGH8BC9yu0/edit?gid=781951868#gid=781951868"",""キャラ!D:F""),3,false)"),"囚われの王女 姫様")</f>
        <v>囚われの王女 姫様</v>
      </c>
      <c r="C130" s="255" t="s">
        <v>269</v>
      </c>
      <c r="D130" s="251">
        <f t="shared" si="15"/>
        <v>405</v>
      </c>
      <c r="E130" s="252">
        <f t="shared" si="16"/>
        <v>0.00173</v>
      </c>
      <c r="F130" s="257"/>
      <c r="G130" s="1"/>
      <c r="H130" s="206"/>
    </row>
    <row r="131">
      <c r="A131" s="248" t="s">
        <v>289</v>
      </c>
      <c r="B131" s="249" t="str">
        <f>IFERROR(__xludf.DUMMYFUNCTION("VLOOKUP(A131,IMPORTRANGE(""https://docs.google.com/spreadsheets/d/1oJmkDK37Qizzdaxn4KCwh1BMwdNWuHCx3AGH8BC9yu0/edit?gid=781951868#gid=781951868"",""キャラ!D:F""),3,false)"),"悪魔が恐れる悪魔 チェンソーマン")</f>
        <v>悪魔が恐れる悪魔 チェンソーマン</v>
      </c>
      <c r="C131" s="255" t="s">
        <v>269</v>
      </c>
      <c r="D131" s="251">
        <f t="shared" si="15"/>
        <v>405</v>
      </c>
      <c r="E131" s="252">
        <f t="shared" si="16"/>
        <v>0.00173</v>
      </c>
      <c r="F131" s="257"/>
      <c r="G131" s="1"/>
      <c r="H131" s="206"/>
    </row>
    <row r="132">
      <c r="A132" s="248" t="s">
        <v>290</v>
      </c>
      <c r="B132" s="249" t="str">
        <f>IFERROR(__xludf.DUMMYFUNCTION("VLOOKUP(A132,IMPORTRANGE(""https://docs.google.com/spreadsheets/d/1oJmkDK37Qizzdaxn4KCwh1BMwdNWuHCx3AGH8BC9yu0/edit?gid=781951868#gid=781951868"",""キャラ!D:F""),3,false)"),"隠された英雄の姿 怪獣８号")</f>
        <v>隠された英雄の姿 怪獣８号</v>
      </c>
      <c r="C132" s="255" t="s">
        <v>269</v>
      </c>
      <c r="D132" s="251">
        <f t="shared" si="15"/>
        <v>405</v>
      </c>
      <c r="E132" s="252">
        <f t="shared" si="16"/>
        <v>0.00173</v>
      </c>
      <c r="F132" s="257"/>
      <c r="G132" s="1"/>
      <c r="H132" s="206"/>
    </row>
    <row r="133">
      <c r="A133" s="248" t="s">
        <v>291</v>
      </c>
      <c r="B133" s="249" t="str">
        <f>IFERROR(__xludf.DUMMYFUNCTION("VLOOKUP(A133,IMPORTRANGE(""https://docs.google.com/spreadsheets/d/1oJmkDK37Qizzdaxn4KCwh1BMwdNWuHCx3AGH8BC9yu0/edit?gid=781951868#gid=781951868"",""キャラ!D:F""),3,false)"),"リリエルに捧ぐ愛 天乃 リリサ")</f>
        <v>リリエルに捧ぐ愛 天乃 リリサ</v>
      </c>
      <c r="C133" s="255" t="s">
        <v>269</v>
      </c>
      <c r="D133" s="251">
        <f t="shared" si="15"/>
        <v>405</v>
      </c>
      <c r="E133" s="252">
        <f t="shared" si="16"/>
        <v>0.00173</v>
      </c>
      <c r="F133" s="257"/>
      <c r="G133" s="1"/>
      <c r="H133" s="206"/>
    </row>
    <row r="134">
      <c r="A134" s="248" t="s">
        <v>292</v>
      </c>
      <c r="B134" s="249" t="str">
        <f>IFERROR(__xludf.DUMMYFUNCTION("VLOOKUP(A134,IMPORTRANGE(""https://docs.google.com/spreadsheets/d/1oJmkDK37Qizzdaxn4KCwh1BMwdNWuHCx3AGH8BC9yu0/edit?gid=781951868#gid=781951868"",""キャラ!D:F""),3,false)"),"コスプレに託す乙女心 橘 美花莉")</f>
        <v>コスプレに託す乙女心 橘 美花莉</v>
      </c>
      <c r="C134" s="255" t="s">
        <v>269</v>
      </c>
      <c r="D134" s="251">
        <f t="shared" si="15"/>
        <v>405</v>
      </c>
      <c r="E134" s="252">
        <f t="shared" si="16"/>
        <v>0.00173</v>
      </c>
      <c r="F134" s="257"/>
      <c r="G134" s="1"/>
      <c r="H134" s="206"/>
    </row>
    <row r="135">
      <c r="A135" s="248" t="s">
        <v>293</v>
      </c>
      <c r="B135" s="249" t="str">
        <f>IFERROR(__xludf.DUMMYFUNCTION("VLOOKUP(A135,IMPORTRANGE(""https://docs.google.com/spreadsheets/d/1oJmkDK37Qizzdaxn4KCwh1BMwdNWuHCx3AGH8BC9yu0/edit?gid=781951868#gid=781951868"",""キャラ!D:F""),3,false)"),"誇り高き魔都の剣姫 羽前 京香")</f>
        <v>誇り高き魔都の剣姫 羽前 京香</v>
      </c>
      <c r="C135" s="255" t="s">
        <v>269</v>
      </c>
      <c r="D135" s="251">
        <f t="shared" si="15"/>
        <v>405</v>
      </c>
      <c r="E135" s="252">
        <f t="shared" si="16"/>
        <v>0.00173</v>
      </c>
      <c r="F135" s="257"/>
      <c r="G135" s="1"/>
      <c r="H135" s="206"/>
    </row>
    <row r="136">
      <c r="A136" s="248" t="s">
        <v>294</v>
      </c>
      <c r="B136" s="249" t="str">
        <f>IFERROR(__xludf.DUMMYFUNCTION("VLOOKUP(A136,IMPORTRANGE(""https://docs.google.com/spreadsheets/d/1oJmkDK37Qizzdaxn4KCwh1BMwdNWuHCx3AGH8BC9yu0/edit?gid=781951868#gid=781951868"",""キャラ!D:F""),3,false)"),"がらんの画眉丸")</f>
        <v>がらんの画眉丸</v>
      </c>
      <c r="C136" s="255" t="s">
        <v>269</v>
      </c>
      <c r="D136" s="251">
        <f t="shared" si="15"/>
        <v>405</v>
      </c>
      <c r="E136" s="252">
        <f t="shared" si="16"/>
        <v>0.00173</v>
      </c>
      <c r="F136" s="257"/>
      <c r="G136" s="1"/>
      <c r="H136" s="206"/>
    </row>
    <row r="137">
      <c r="A137" s="248" t="s">
        <v>295</v>
      </c>
      <c r="B137" s="249" t="str">
        <f>IFERROR(__xludf.DUMMYFUNCTION("VLOOKUP(A137,IMPORTRANGE(""https://docs.google.com/spreadsheets/d/1oJmkDK37Qizzdaxn4KCwh1BMwdNWuHCx3AGH8BC9yu0/edit?gid=781951868#gid=781951868"",""キャラ!D:F""),3,false)"),"新人魔法少女 桜木 カナ")</f>
        <v>新人魔法少女 桜木 カナ</v>
      </c>
      <c r="C137" s="255" t="s">
        <v>269</v>
      </c>
      <c r="D137" s="251">
        <f t="shared" si="15"/>
        <v>405</v>
      </c>
      <c r="E137" s="252">
        <f t="shared" si="16"/>
        <v>0.00173</v>
      </c>
      <c r="F137" s="257"/>
      <c r="G137" s="1"/>
      <c r="H137" s="206"/>
    </row>
    <row r="138">
      <c r="A138" s="248" t="s">
        <v>296</v>
      </c>
      <c r="B138" s="249" t="str">
        <f>IFERROR(__xludf.DUMMYFUNCTION("VLOOKUP(A138,IMPORTRANGE(""https://docs.google.com/spreadsheets/d/1oJmkDK37Qizzdaxn4KCwh1BMwdNWuHCx3AGH8BC9yu0/edit?gid=781951868#gid=781951868"",""キャラ!D:F""),3,false)"),"影のウシオ 小舟 潮")</f>
        <v>影のウシオ 小舟 潮</v>
      </c>
      <c r="C138" s="255" t="s">
        <v>269</v>
      </c>
      <c r="D138" s="251">
        <f t="shared" si="15"/>
        <v>405</v>
      </c>
      <c r="E138" s="252">
        <f t="shared" si="16"/>
        <v>0.00173</v>
      </c>
      <c r="F138" s="264"/>
      <c r="G138" s="1"/>
      <c r="H138" s="206"/>
    </row>
    <row r="139">
      <c r="A139" s="248" t="s">
        <v>385</v>
      </c>
      <c r="B139" s="249" t="str">
        <f>IFERROR(__xludf.DUMMYFUNCTION("VLOOKUP(A139,IMPORTRANGE(""https://docs.google.com/spreadsheets/d/1oJmkDK37Qizzdaxn4KCwh1BMwdNWuHCx3AGH8BC9yu0/edit?gid=781951868#gid=781951868"",""キャラ!D:F""),3,false)"),"斉藤 ミヤコ")</f>
        <v>斉藤 ミヤコ</v>
      </c>
      <c r="C139" s="328" t="s">
        <v>388</v>
      </c>
      <c r="D139" s="251">
        <f t="shared" si="15"/>
        <v>3510</v>
      </c>
      <c r="E139" s="252">
        <f t="shared" ref="E139:E140" si="17">IFERROR(rounddown($F$139/$C$117,5),"0%")</f>
        <v>0.015</v>
      </c>
      <c r="F139" s="285">
        <v>0.03</v>
      </c>
      <c r="G139" s="1"/>
      <c r="H139" s="206"/>
    </row>
    <row r="140">
      <c r="A140" s="248" t="s">
        <v>387</v>
      </c>
      <c r="B140" s="249" t="str">
        <f>IFERROR(__xludf.DUMMYFUNCTION("VLOOKUP(A140,IMPORTRANGE(""https://docs.google.com/spreadsheets/d/1oJmkDK37Qizzdaxn4KCwh1BMwdNWuHCx3AGH8BC9yu0/edit?gid=781951868#gid=781951868"",""キャラ!D:F""),3,false)"),"祥龍院 隆子")</f>
        <v>祥龍院 隆子</v>
      </c>
      <c r="C140" s="328" t="s">
        <v>388</v>
      </c>
      <c r="D140" s="251">
        <f t="shared" si="15"/>
        <v>3510</v>
      </c>
      <c r="E140" s="252">
        <f t="shared" si="17"/>
        <v>0.015</v>
      </c>
      <c r="F140" s="257"/>
      <c r="G140" s="1"/>
      <c r="H140" s="206"/>
    </row>
    <row r="141">
      <c r="A141" s="263" t="s">
        <v>304</v>
      </c>
      <c r="B141" s="249" t="str">
        <f>IFERROR(__xludf.DUMMYFUNCTION("VLOOKUP(A141,IMPORTRANGE(""https://docs.google.com/spreadsheets/d/1oJmkDK37Qizzdaxn4KCwh1BMwdNWuHCx3AGH8BC9yu0/edit?gid=781951868#gid=781951868"",""キャラ!D:F""),3,false)"),"モモ")</f>
        <v>モモ</v>
      </c>
      <c r="C141" s="265" t="s">
        <v>270</v>
      </c>
      <c r="D141" s="251">
        <f t="shared" si="15"/>
        <v>1820</v>
      </c>
      <c r="E141" s="252">
        <f t="shared" ref="E141:E149" si="18">IFERROR(rounddown($F$141/$C$118,5),"0%")</f>
        <v>0.00777</v>
      </c>
      <c r="F141" s="285">
        <v>0.07</v>
      </c>
      <c r="G141" s="1"/>
      <c r="H141" s="206"/>
    </row>
    <row r="142">
      <c r="A142" s="263" t="s">
        <v>305</v>
      </c>
      <c r="B142" s="249" t="str">
        <f>IFERROR(__xludf.DUMMYFUNCTION("VLOOKUP(A142,IMPORTRANGE(""https://docs.google.com/spreadsheets/d/1oJmkDK37Qizzdaxn4KCwh1BMwdNWuHCx3AGH8BC9yu0/edit?gid=781951868#gid=781951868"",""キャラ!D:F""),3,false)"),"早川 アキ")</f>
        <v>早川 アキ</v>
      </c>
      <c r="C142" s="265" t="s">
        <v>270</v>
      </c>
      <c r="D142" s="251">
        <f t="shared" si="15"/>
        <v>1820</v>
      </c>
      <c r="E142" s="252">
        <f t="shared" si="18"/>
        <v>0.00777</v>
      </c>
      <c r="F142" s="257"/>
      <c r="G142" s="1"/>
      <c r="H142" s="206"/>
    </row>
    <row r="143">
      <c r="A143" s="263" t="s">
        <v>306</v>
      </c>
      <c r="B143" s="249" t="str">
        <f>IFERROR(__xludf.DUMMYFUNCTION("VLOOKUP(A143,IMPORTRANGE(""https://docs.google.com/spreadsheets/d/1oJmkDK37Qizzdaxn4KCwh1BMwdNWuHCx3AGH8BC9yu0/edit?gid=781951868#gid=781951868"",""キャラ!D:F""),3,false)"),"パワー")</f>
        <v>パワー</v>
      </c>
      <c r="C143" s="265" t="s">
        <v>270</v>
      </c>
      <c r="D143" s="251">
        <f t="shared" si="15"/>
        <v>1820</v>
      </c>
      <c r="E143" s="252">
        <f t="shared" si="18"/>
        <v>0.00777</v>
      </c>
      <c r="F143" s="257"/>
      <c r="G143" s="1"/>
      <c r="H143" s="206"/>
    </row>
    <row r="144">
      <c r="A144" s="263" t="s">
        <v>307</v>
      </c>
      <c r="B144" s="249" t="str">
        <f>IFERROR(__xludf.DUMMYFUNCTION("VLOOKUP(A144,IMPORTRANGE(""https://docs.google.com/spreadsheets/d/1oJmkDK37Qizzdaxn4KCwh1BMwdNWuHCx3AGH8BC9yu0/edit?gid=781951868#gid=781951868"",""キャラ!D:F""),3,false)"),"四ノ宮 キコル")</f>
        <v>四ノ宮 キコル</v>
      </c>
      <c r="C144" s="265" t="s">
        <v>270</v>
      </c>
      <c r="D144" s="251">
        <f t="shared" si="15"/>
        <v>1820</v>
      </c>
      <c r="E144" s="252">
        <f t="shared" si="18"/>
        <v>0.00777</v>
      </c>
      <c r="F144" s="257"/>
      <c r="G144" s="1"/>
      <c r="H144" s="206"/>
    </row>
    <row r="145">
      <c r="A145" s="263" t="s">
        <v>308</v>
      </c>
      <c r="B145" s="249" t="str">
        <f>IFERROR(__xludf.DUMMYFUNCTION("VLOOKUP(A145,IMPORTRANGE(""https://docs.google.com/spreadsheets/d/1oJmkDK37Qizzdaxn4KCwh1BMwdNWuHCx3AGH8BC9yu0/edit?gid=781951868#gid=781951868"",""キャラ!D:F""),3,false)"),"鴨乃橋 ロン")</f>
        <v>鴨乃橋 ロン</v>
      </c>
      <c r="C145" s="265" t="s">
        <v>270</v>
      </c>
      <c r="D145" s="251">
        <f t="shared" si="15"/>
        <v>1820</v>
      </c>
      <c r="E145" s="252">
        <f t="shared" si="18"/>
        <v>0.00777</v>
      </c>
      <c r="F145" s="257"/>
      <c r="G145" s="1"/>
      <c r="H145" s="206"/>
    </row>
    <row r="146">
      <c r="A146" s="263" t="s">
        <v>309</v>
      </c>
      <c r="B146" s="249" t="str">
        <f>IFERROR(__xludf.DUMMYFUNCTION("VLOOKUP(A146,IMPORTRANGE(""https://docs.google.com/spreadsheets/d/1oJmkDK37Qizzdaxn4KCwh1BMwdNWuHCx3AGH8BC9yu0/edit?gid=781951868#gid=781951868"",""キャラ!D:F""),3,false)"),"阿波連 れいな")</f>
        <v>阿波連 れいな</v>
      </c>
      <c r="C146" s="265" t="s">
        <v>270</v>
      </c>
      <c r="D146" s="251">
        <f t="shared" si="15"/>
        <v>1820</v>
      </c>
      <c r="E146" s="252">
        <f t="shared" si="18"/>
        <v>0.00777</v>
      </c>
      <c r="F146" s="257"/>
      <c r="G146" s="1"/>
      <c r="H146" s="206"/>
    </row>
    <row r="147">
      <c r="A147" s="263" t="s">
        <v>310</v>
      </c>
      <c r="B147" s="249" t="str">
        <f>IFERROR(__xludf.DUMMYFUNCTION("VLOOKUP(A147,IMPORTRANGE(""https://docs.google.com/spreadsheets/d/1oJmkDK37Qizzdaxn4KCwh1BMwdNWuHCx3AGH8BC9yu0/edit?gid=781951868#gid=781951868"",""キャラ!D:F""),3,false)"),"山田浅ェ門 佐切")</f>
        <v>山田浅ェ門 佐切</v>
      </c>
      <c r="C147" s="265" t="s">
        <v>270</v>
      </c>
      <c r="D147" s="251">
        <f t="shared" si="15"/>
        <v>1820</v>
      </c>
      <c r="E147" s="252">
        <f t="shared" si="18"/>
        <v>0.00777</v>
      </c>
      <c r="F147" s="257"/>
      <c r="G147" s="7"/>
      <c r="H147" s="206"/>
    </row>
    <row r="148">
      <c r="A148" s="263" t="s">
        <v>311</v>
      </c>
      <c r="B148" s="249" t="str">
        <f>IFERROR(__xludf.DUMMYFUNCTION("VLOOKUP(A148,IMPORTRANGE(""https://docs.google.com/spreadsheets/d/1oJmkDK37Qizzdaxn4KCwh1BMwdNWuHCx3AGH8BC9yu0/edit?gid=781951868#gid=781951868"",""キャラ!D:F""),3,false)"),"冬木 美波")</f>
        <v>冬木 美波</v>
      </c>
      <c r="C148" s="265" t="s">
        <v>270</v>
      </c>
      <c r="D148" s="251">
        <f t="shared" si="15"/>
        <v>1820</v>
      </c>
      <c r="E148" s="252">
        <f t="shared" si="18"/>
        <v>0.00777</v>
      </c>
      <c r="F148" s="257"/>
      <c r="G148" s="1"/>
      <c r="H148" s="206"/>
    </row>
    <row r="149">
      <c r="A149" s="263" t="s">
        <v>312</v>
      </c>
      <c r="B149" s="249" t="str">
        <f>IFERROR(__xludf.DUMMYFUNCTION("VLOOKUP(A149,IMPORTRANGE(""https://docs.google.com/spreadsheets/d/1oJmkDK37Qizzdaxn4KCwh1BMwdNWuHCx3AGH8BC9yu0/edit?gid=781951868#gid=781951868"",""キャラ!D:F""),3,false)"),"秋野 沙友理")</f>
        <v>秋野 沙友理</v>
      </c>
      <c r="C149" s="265" t="s">
        <v>270</v>
      </c>
      <c r="D149" s="251">
        <f t="shared" si="15"/>
        <v>1820</v>
      </c>
      <c r="E149" s="252">
        <f t="shared" si="18"/>
        <v>0.00777</v>
      </c>
      <c r="F149" s="264"/>
      <c r="G149" s="1"/>
      <c r="H149" s="206"/>
    </row>
    <row r="150">
      <c r="A150" s="248" t="s">
        <v>313</v>
      </c>
      <c r="B150" s="249" t="str">
        <f>IFERROR(__xludf.DUMMYFUNCTION("VLOOKUP(A150,IMPORTRANGE(""https://docs.google.com/spreadsheets/d/1oJmkDK37Qizzdaxn4KCwh1BMwdNWuHCx3AGH8BC9yu0/edit?gid=781951868#gid=781951868"",""キャラ!D:F""),3,false)"),"トーチャー・トルチュール")</f>
        <v>トーチャー・トルチュール</v>
      </c>
      <c r="C150" s="268" t="s">
        <v>271</v>
      </c>
      <c r="D150" s="251">
        <f t="shared" si="15"/>
        <v>20358</v>
      </c>
      <c r="E150" s="252">
        <f t="shared" ref="E150:E159" si="19">IFERROR(rounddown($F$150/$C$119,5),"0%")</f>
        <v>0.087</v>
      </c>
      <c r="F150" s="330">
        <v>0.87</v>
      </c>
      <c r="G150" s="1"/>
      <c r="H150" s="206"/>
    </row>
    <row r="151">
      <c r="A151" s="248" t="s">
        <v>314</v>
      </c>
      <c r="B151" s="249" t="str">
        <f>IFERROR(__xludf.DUMMYFUNCTION("VLOOKUP(A151,IMPORTRANGE(""https://docs.google.com/spreadsheets/d/1oJmkDK37Qizzdaxn4KCwh1BMwdNWuHCx3AGH8BC9yu0/edit?gid=781951868#gid=781951868"",""キャラ!D:F""),3,false)"),"清峰 葉流火")</f>
        <v>清峰 葉流火</v>
      </c>
      <c r="C151" s="268" t="s">
        <v>271</v>
      </c>
      <c r="D151" s="251">
        <f t="shared" si="15"/>
        <v>20358</v>
      </c>
      <c r="E151" s="252">
        <f t="shared" si="19"/>
        <v>0.087</v>
      </c>
      <c r="F151" s="257"/>
      <c r="G151" s="1"/>
      <c r="H151" s="206"/>
    </row>
    <row r="152">
      <c r="A152" s="248" t="s">
        <v>315</v>
      </c>
      <c r="B152" s="249" t="str">
        <f>IFERROR(__xludf.DUMMYFUNCTION("VLOOKUP(A152,IMPORTRANGE(""https://docs.google.com/spreadsheets/d/1oJmkDK37Qizzdaxn4KCwh1BMwdNWuHCx3AGH8BC9yu0/edit?gid=781951868#gid=781951868"",""キャラ!D:F""),3,false)"),"要 圭")</f>
        <v>要 圭</v>
      </c>
      <c r="C152" s="268" t="s">
        <v>271</v>
      </c>
      <c r="D152" s="251">
        <f t="shared" si="15"/>
        <v>20358</v>
      </c>
      <c r="E152" s="252">
        <f t="shared" si="19"/>
        <v>0.087</v>
      </c>
      <c r="F152" s="257"/>
      <c r="G152" s="1"/>
      <c r="H152" s="206"/>
    </row>
    <row r="153">
      <c r="A153" s="248" t="s">
        <v>316</v>
      </c>
      <c r="B153" s="249" t="str">
        <f>IFERROR(__xludf.DUMMYFUNCTION("VLOOKUP(A153,IMPORTRANGE(""https://docs.google.com/spreadsheets/d/1oJmkDK37Qizzdaxn4KCwh1BMwdNWuHCx3AGH8BC9yu0/edit?gid=781951868#gid=781951868"",""キャラ!D:F""),3,false)"),"市川 レノ")</f>
        <v>市川 レノ</v>
      </c>
      <c r="C153" s="268" t="s">
        <v>271</v>
      </c>
      <c r="D153" s="251">
        <f t="shared" si="15"/>
        <v>20358</v>
      </c>
      <c r="E153" s="252">
        <f t="shared" si="19"/>
        <v>0.087</v>
      </c>
      <c r="F153" s="257"/>
      <c r="G153" s="1"/>
      <c r="H153" s="206"/>
    </row>
    <row r="154">
      <c r="A154" s="248" t="s">
        <v>317</v>
      </c>
      <c r="B154" s="249" t="str">
        <f>IFERROR(__xludf.DUMMYFUNCTION("VLOOKUP(A154,IMPORTRANGE(""https://docs.google.com/spreadsheets/d/1oJmkDK37Qizzdaxn4KCwh1BMwdNWuHCx3AGH8BC9yu0/edit?gid=781951868#gid=781951868"",""キャラ!D:F""),3,false)"),"東 日万凛")</f>
        <v>東 日万凛</v>
      </c>
      <c r="C154" s="268" t="s">
        <v>271</v>
      </c>
      <c r="D154" s="251">
        <f t="shared" si="15"/>
        <v>20358</v>
      </c>
      <c r="E154" s="252">
        <f t="shared" si="19"/>
        <v>0.087</v>
      </c>
      <c r="F154" s="257"/>
      <c r="G154" s="1"/>
      <c r="H154" s="206"/>
    </row>
    <row r="155">
      <c r="A155" s="248" t="s">
        <v>318</v>
      </c>
      <c r="B155" s="249" t="str">
        <f>IFERROR(__xludf.DUMMYFUNCTION("VLOOKUP(A155,IMPORTRANGE(""https://docs.google.com/spreadsheets/d/1oJmkDK37Qizzdaxn4KCwh1BMwdNWuHCx3AGH8BC9yu0/edit?gid=781951868#gid=781951868"",""キャラ!D:F""),3,false)"),"駿河 朱々")</f>
        <v>駿河 朱々</v>
      </c>
      <c r="C155" s="268" t="s">
        <v>271</v>
      </c>
      <c r="D155" s="251">
        <f t="shared" si="15"/>
        <v>20358</v>
      </c>
      <c r="E155" s="252">
        <f t="shared" si="19"/>
        <v>0.087</v>
      </c>
      <c r="F155" s="257"/>
      <c r="G155" s="1"/>
      <c r="H155" s="206"/>
    </row>
    <row r="156">
      <c r="A156" s="248" t="s">
        <v>319</v>
      </c>
      <c r="B156" s="249" t="str">
        <f>IFERROR(__xludf.DUMMYFUNCTION("VLOOKUP(A156,IMPORTRANGE(""https://docs.google.com/spreadsheets/d/1oJmkDK37Qizzdaxn4KCwh1BMwdNWuHCx3AGH8BC9yu0/edit?gid=781951868#gid=781951868"",""キャラ!D:F""),3,false)"),"ライドウ")</f>
        <v>ライドウ</v>
      </c>
      <c r="C156" s="268" t="s">
        <v>271</v>
      </c>
      <c r="D156" s="251">
        <f t="shared" si="15"/>
        <v>20358</v>
      </c>
      <c r="E156" s="252">
        <f t="shared" si="19"/>
        <v>0.087</v>
      </c>
      <c r="F156" s="257"/>
      <c r="G156" s="1"/>
      <c r="H156" s="206"/>
    </row>
    <row r="157">
      <c r="A157" s="248" t="s">
        <v>320</v>
      </c>
      <c r="B157" s="249" t="str">
        <f>IFERROR(__xludf.DUMMYFUNCTION("VLOOKUP(A157,IMPORTRANGE(""https://docs.google.com/spreadsheets/d/1oJmkDK37Qizzdaxn4KCwh1BMwdNWuHCx3AGH8BC9yu0/edit?gid=781951868#gid=781951868"",""キャラ!D:F""),3,false)"),"山田浅ェ門 仙汰")</f>
        <v>山田浅ェ門 仙汰</v>
      </c>
      <c r="C157" s="268" t="s">
        <v>271</v>
      </c>
      <c r="D157" s="251">
        <f t="shared" si="15"/>
        <v>20358</v>
      </c>
      <c r="E157" s="252">
        <f t="shared" si="19"/>
        <v>0.087</v>
      </c>
      <c r="F157" s="257"/>
      <c r="G157" s="1"/>
      <c r="H157" s="206"/>
    </row>
    <row r="158">
      <c r="A158" s="248" t="s">
        <v>321</v>
      </c>
      <c r="B158" s="249" t="str">
        <f>IFERROR(__xludf.DUMMYFUNCTION("VLOOKUP(A158,IMPORTRANGE(""https://docs.google.com/spreadsheets/d/1oJmkDK37Qizzdaxn4KCwh1BMwdNWuHCx3AGH8BC9yu0/edit?gid=781951868#gid=781951868"",""キャラ!D:F""),3,false)"),"越谷 仁美")</f>
        <v>越谷 仁美</v>
      </c>
      <c r="C158" s="268" t="s">
        <v>271</v>
      </c>
      <c r="D158" s="251">
        <f t="shared" si="15"/>
        <v>20358</v>
      </c>
      <c r="E158" s="252">
        <f t="shared" si="19"/>
        <v>0.087</v>
      </c>
      <c r="F158" s="257"/>
      <c r="G158" s="1"/>
      <c r="H158" s="206"/>
    </row>
    <row r="159">
      <c r="A159" s="248" t="s">
        <v>322</v>
      </c>
      <c r="B159" s="249" t="str">
        <f>IFERROR(__xludf.DUMMYFUNCTION("VLOOKUP(A159,IMPORTRANGE(""https://docs.google.com/spreadsheets/d/1oJmkDK37Qizzdaxn4KCwh1BMwdNWuHCx3AGH8BC9yu0/edit?gid=781951868#gid=781951868"",""キャラ!D:F""),3,false)"),"小舟 澪")</f>
        <v>小舟 澪</v>
      </c>
      <c r="C159" s="268" t="s">
        <v>271</v>
      </c>
      <c r="D159" s="251">
        <f t="shared" si="15"/>
        <v>20358</v>
      </c>
      <c r="E159" s="252">
        <f t="shared" si="19"/>
        <v>0.087</v>
      </c>
      <c r="F159" s="264"/>
      <c r="G159" s="1"/>
      <c r="H159" s="206"/>
    </row>
    <row r="160">
      <c r="A160" s="331"/>
      <c r="B160" s="287"/>
      <c r="C160" s="332"/>
      <c r="D160" s="289"/>
      <c r="E160" s="270">
        <f t="shared" ref="E160:F160" si="20">sum(E125:E159)</f>
        <v>0.99992</v>
      </c>
      <c r="F160" s="271">
        <f t="shared" si="20"/>
        <v>1</v>
      </c>
      <c r="G160" s="1"/>
      <c r="H160" s="1"/>
    </row>
    <row r="161">
      <c r="A161" s="331"/>
      <c r="B161" s="287"/>
      <c r="C161" s="332"/>
      <c r="D161" s="289"/>
      <c r="E161" s="290"/>
      <c r="F161" s="333"/>
      <c r="G161" s="1"/>
      <c r="H161" s="1"/>
    </row>
  </sheetData>
  <mergeCells count="11">
    <mergeCell ref="F126:F138"/>
    <mergeCell ref="F139:F140"/>
    <mergeCell ref="F141:F149"/>
    <mergeCell ref="F150:F159"/>
    <mergeCell ref="A31:A35"/>
    <mergeCell ref="G45:H52"/>
    <mergeCell ref="F67:F79"/>
    <mergeCell ref="F80:F81"/>
    <mergeCell ref="F82:F90"/>
    <mergeCell ref="F91:F100"/>
    <mergeCell ref="F101:F109"/>
  </mergeCells>
  <conditionalFormatting sqref="B9:I9">
    <cfRule type="expression" dxfId="0" priority="1">
      <formula>$B8="無"</formula>
    </cfRule>
  </conditionalFormatting>
  <conditionalFormatting sqref="B17:I17">
    <cfRule type="expression" dxfId="0" priority="2">
      <formula>$B16="無"</formula>
    </cfRule>
  </conditionalFormatting>
  <conditionalFormatting sqref="B19:I19">
    <cfRule type="expression" dxfId="0" priority="3">
      <formula>$B18="無"</formula>
    </cfRule>
  </conditionalFormatting>
  <conditionalFormatting sqref="B23:I23">
    <cfRule type="expression" dxfId="0" priority="4">
      <formula>$B22="無"</formula>
    </cfRule>
  </conditionalFormatting>
  <conditionalFormatting sqref="B25:I25">
    <cfRule type="expression" dxfId="1" priority="5">
      <formula>$B24="無"</formula>
    </cfRule>
  </conditionalFormatting>
  <conditionalFormatting sqref="B27:I27">
    <cfRule type="expression" dxfId="0" priority="6">
      <formula>$B26="無"</formula>
    </cfRule>
  </conditionalFormatting>
  <conditionalFormatting sqref="B5 B10:B11 C10:I15">
    <cfRule type="expression" dxfId="1" priority="7">
      <formula>$B3="無"</formula>
    </cfRule>
  </conditionalFormatting>
  <conditionalFormatting sqref="C13:I15">
    <cfRule type="expression" dxfId="0" priority="8">
      <formula>#REF!="無"</formula>
    </cfRule>
  </conditionalFormatting>
  <dataValidations>
    <dataValidation type="list" allowBlank="1" showErrorMessage="1" sqref="H2">
      <formula1>"未承認,承認済,社内承認済"</formula1>
    </dataValidation>
    <dataValidation type="list" allowBlank="1" showErrorMessage="1" sqref="B8 B12:B13 B16 B18 B21:B22 B24 B26">
      <formula1>"有,無"</formula1>
    </dataValidation>
    <dataValidation type="list" allowBlank="1" showErrorMessage="1" sqref="B6">
      <formula1>"恒常ガシャ,ピックアップガシャ,フェス限定ガシャ,有償限定ガシャ,チュートリアルガシャ,チケットガシャ"</formula1>
    </dataValidation>
    <dataValidation type="list" allowBlank="1" showErrorMessage="1" sqref="B15">
      <formula1>"行う,行わない"</formula1>
    </dataValidation>
    <dataValidation type="list" allowBlank="1" showErrorMessage="1" sqref="B20">
      <formula1>"可,否"</formula1>
    </dataValidation>
  </dataValidations>
  <hyperlinks>
    <hyperlink r:id="rId1" location="gid=1243607662&amp;range=F:F" ref="F14"/>
    <hyperlink r:id="rId2" location="gid=920186449&amp;range=F:F" ref="E45"/>
    <hyperlink r:id="rId3" location="gid=158837977" ref="E47"/>
    <hyperlink r:id="rId4" location="gid=920186449&amp;range=H:H" ref="E52"/>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391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s>
  <sheetData>
    <row r="1">
      <c r="B1" s="10"/>
    </row>
    <row r="2">
      <c r="B2" s="10" t="s">
        <v>392</v>
      </c>
    </row>
    <row r="3">
      <c r="B3" s="334" t="s">
        <v>393</v>
      </c>
    </row>
    <row r="4">
      <c r="B4" s="10"/>
    </row>
    <row r="5">
      <c r="B5" s="10" t="s">
        <v>394</v>
      </c>
    </row>
    <row r="6">
      <c r="C6" s="10" t="s">
        <v>395</v>
      </c>
      <c r="D6" s="10" t="s">
        <v>90</v>
      </c>
      <c r="E6" s="10" t="s">
        <v>396</v>
      </c>
      <c r="G6" s="10" t="s">
        <v>397</v>
      </c>
    </row>
    <row r="7">
      <c r="B7" s="10" t="s">
        <v>398</v>
      </c>
      <c r="C7" s="10" t="s">
        <v>399</v>
      </c>
      <c r="D7" s="10" t="s">
        <v>400</v>
      </c>
      <c r="E7" s="10" t="s">
        <v>401</v>
      </c>
      <c r="G7" s="10" t="s">
        <v>402</v>
      </c>
    </row>
    <row r="8">
      <c r="B8" s="10" t="s">
        <v>403</v>
      </c>
      <c r="C8" s="10" t="s">
        <v>404</v>
      </c>
      <c r="D8" s="10" t="s">
        <v>405</v>
      </c>
      <c r="E8" s="10" t="s">
        <v>406</v>
      </c>
    </row>
    <row r="9">
      <c r="B9" s="10" t="s">
        <v>407</v>
      </c>
      <c r="C9" s="10" t="s">
        <v>408</v>
      </c>
      <c r="D9" s="10" t="s">
        <v>400</v>
      </c>
      <c r="E9" s="10" t="s">
        <v>409</v>
      </c>
    </row>
    <row r="10">
      <c r="B10" s="10" t="s">
        <v>410</v>
      </c>
      <c r="C10" s="10" t="s">
        <v>404</v>
      </c>
      <c r="D10" s="10" t="s">
        <v>405</v>
      </c>
      <c r="E10" s="10" t="s">
        <v>406</v>
      </c>
    </row>
    <row r="11">
      <c r="B11" s="10" t="s">
        <v>411</v>
      </c>
      <c r="C11" s="10" t="s">
        <v>412</v>
      </c>
      <c r="D11" s="10" t="s">
        <v>400</v>
      </c>
      <c r="E11" s="10" t="s">
        <v>413</v>
      </c>
    </row>
    <row r="13">
      <c r="B13" s="10" t="s">
        <v>263</v>
      </c>
    </row>
    <row r="14">
      <c r="B14" s="10" t="s">
        <v>414</v>
      </c>
    </row>
    <row r="16">
      <c r="B16" s="10" t="s">
        <v>415</v>
      </c>
    </row>
    <row r="17">
      <c r="B17" s="10" t="s">
        <v>416</v>
      </c>
    </row>
    <row r="18">
      <c r="B18" s="10" t="s">
        <v>417</v>
      </c>
    </row>
    <row r="20">
      <c r="B20" s="10" t="s">
        <v>418</v>
      </c>
    </row>
  </sheetData>
  <hyperlinks>
    <hyperlink r:id="rId1" location="gid=1036379318" ref="B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0"/>
    <col customWidth="1" min="2" max="2" width="22.7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151"/>
      <c r="B2" s="156"/>
      <c r="C2" s="157"/>
      <c r="D2" s="157"/>
      <c r="E2" s="157"/>
      <c r="F2" s="158" t="s">
        <v>41</v>
      </c>
      <c r="G2" s="159"/>
      <c r="H2" s="14" t="s">
        <v>42</v>
      </c>
      <c r="I2" s="160"/>
    </row>
    <row r="3">
      <c r="A3" s="161" t="s">
        <v>181</v>
      </c>
      <c r="B3" s="162"/>
      <c r="C3" s="162"/>
      <c r="D3" s="162"/>
      <c r="E3" s="162"/>
      <c r="F3" s="162"/>
      <c r="G3" s="162"/>
      <c r="H3" s="163"/>
      <c r="I3" s="164" t="s">
        <v>182</v>
      </c>
    </row>
    <row r="4">
      <c r="A4" s="165" t="s">
        <v>183</v>
      </c>
      <c r="B4" s="166" t="s">
        <v>392</v>
      </c>
      <c r="C4" s="167"/>
      <c r="D4" s="167"/>
      <c r="E4" s="167"/>
      <c r="F4" s="167"/>
      <c r="G4" s="167"/>
      <c r="H4" s="168"/>
      <c r="I4" s="10" t="s">
        <v>185</v>
      </c>
    </row>
    <row r="5">
      <c r="A5" s="169" t="s">
        <v>186</v>
      </c>
      <c r="B5" s="170" t="s">
        <v>419</v>
      </c>
      <c r="C5" s="171"/>
      <c r="D5" s="171"/>
      <c r="E5" s="172"/>
      <c r="F5" s="171"/>
      <c r="G5" s="171"/>
      <c r="H5" s="173"/>
    </row>
    <row r="6">
      <c r="A6" s="165" t="s">
        <v>188</v>
      </c>
      <c r="B6" s="166" t="s">
        <v>420</v>
      </c>
      <c r="C6" s="167"/>
      <c r="D6" s="167"/>
      <c r="E6" s="167"/>
      <c r="F6" s="167"/>
      <c r="G6" s="167"/>
      <c r="H6" s="168"/>
    </row>
    <row r="7">
      <c r="A7" s="165" t="s">
        <v>190</v>
      </c>
      <c r="B7" s="174">
        <v>46097.5</v>
      </c>
      <c r="C7" s="175" t="s">
        <v>191</v>
      </c>
      <c r="D7" s="174">
        <v>46125.45832175926</v>
      </c>
      <c r="E7" s="167"/>
      <c r="F7" s="167"/>
      <c r="G7" s="167"/>
      <c r="H7" s="168"/>
      <c r="I7" s="10" t="s">
        <v>185</v>
      </c>
    </row>
    <row r="8">
      <c r="A8" s="165" t="s">
        <v>192</v>
      </c>
      <c r="B8" s="175" t="s">
        <v>193</v>
      </c>
      <c r="C8" s="166" t="s">
        <v>194</v>
      </c>
      <c r="D8" s="167"/>
      <c r="E8" s="167"/>
      <c r="F8" s="167"/>
      <c r="G8" s="167"/>
      <c r="H8" s="168"/>
    </row>
    <row r="9">
      <c r="A9" s="165" t="s">
        <v>195</v>
      </c>
      <c r="B9" s="166" t="s">
        <v>421</v>
      </c>
      <c r="C9" s="167"/>
      <c r="D9" s="167"/>
      <c r="E9" s="167"/>
      <c r="F9" s="167"/>
      <c r="G9" s="167"/>
      <c r="H9" s="168"/>
      <c r="I9" s="10" t="s">
        <v>21</v>
      </c>
    </row>
    <row r="10">
      <c r="A10" s="165" t="s">
        <v>196</v>
      </c>
      <c r="B10" s="170" t="s">
        <v>422</v>
      </c>
      <c r="C10" s="167"/>
      <c r="D10" s="167"/>
      <c r="E10" s="167"/>
      <c r="F10" s="167"/>
      <c r="G10" s="167"/>
      <c r="H10" s="168"/>
      <c r="I10" s="10" t="s">
        <v>21</v>
      </c>
    </row>
    <row r="11">
      <c r="A11" s="176" t="s">
        <v>198</v>
      </c>
      <c r="B11" s="177" t="s">
        <v>199</v>
      </c>
      <c r="C11" s="178"/>
      <c r="D11" s="178"/>
      <c r="E11" s="178"/>
      <c r="F11" s="178"/>
      <c r="G11" s="178"/>
      <c r="H11" s="179"/>
      <c r="I11" s="1"/>
    </row>
    <row r="12">
      <c r="A12" s="176" t="s">
        <v>200</v>
      </c>
      <c r="B12" s="175" t="s">
        <v>156</v>
      </c>
      <c r="C12" s="178"/>
      <c r="D12" s="178"/>
      <c r="E12" s="178"/>
      <c r="F12" s="178"/>
      <c r="G12" s="178"/>
      <c r="H12" s="179"/>
      <c r="I12" s="1"/>
    </row>
    <row r="13">
      <c r="A13" s="176" t="s">
        <v>201</v>
      </c>
      <c r="B13" s="175" t="s">
        <v>156</v>
      </c>
      <c r="C13" s="180"/>
      <c r="D13" s="178"/>
      <c r="E13" s="178"/>
      <c r="F13" s="178"/>
      <c r="G13" s="178"/>
      <c r="H13" s="179"/>
      <c r="I13" s="1"/>
    </row>
    <row r="14">
      <c r="A14" s="181" t="s">
        <v>202</v>
      </c>
      <c r="B14" s="182"/>
      <c r="C14" s="183" t="s">
        <v>203</v>
      </c>
      <c r="D14" s="184" t="str">
        <f>B14/60&amp;"時間"</f>
        <v>0時間</v>
      </c>
      <c r="E14" s="185" t="s">
        <v>204</v>
      </c>
      <c r="F14" s="186" t="s">
        <v>423</v>
      </c>
      <c r="G14" s="185"/>
      <c r="H14" s="187"/>
      <c r="I14" s="188"/>
    </row>
    <row r="15">
      <c r="A15" s="189" t="s">
        <v>206</v>
      </c>
      <c r="B15" s="190" t="s">
        <v>207</v>
      </c>
      <c r="C15" s="191"/>
      <c r="D15" s="185"/>
      <c r="E15" s="185"/>
      <c r="F15" s="185"/>
      <c r="G15" s="185"/>
      <c r="H15" s="187"/>
      <c r="I15" s="188"/>
    </row>
    <row r="16">
      <c r="A16" s="335" t="s">
        <v>424</v>
      </c>
      <c r="B16" s="175" t="s">
        <v>193</v>
      </c>
      <c r="C16" s="167"/>
      <c r="D16" s="167"/>
      <c r="E16" s="167"/>
      <c r="F16" s="167"/>
      <c r="G16" s="167"/>
      <c r="H16" s="168"/>
    </row>
    <row r="17">
      <c r="A17" s="335" t="s">
        <v>425</v>
      </c>
      <c r="B17" s="166" t="s">
        <v>49</v>
      </c>
      <c r="C17" s="166" t="s">
        <v>210</v>
      </c>
      <c r="D17" s="167"/>
      <c r="E17" s="167"/>
      <c r="F17" s="167"/>
      <c r="G17" s="167"/>
      <c r="H17" s="168"/>
    </row>
    <row r="18">
      <c r="A18" s="335" t="s">
        <v>426</v>
      </c>
      <c r="B18" s="166" t="s">
        <v>411</v>
      </c>
      <c r="C18" s="166"/>
      <c r="D18" s="167"/>
      <c r="E18" s="167"/>
      <c r="F18" s="167"/>
      <c r="G18" s="167"/>
      <c r="H18" s="168"/>
    </row>
    <row r="19">
      <c r="A19" s="165" t="s">
        <v>211</v>
      </c>
      <c r="B19" s="175" t="s">
        <v>193</v>
      </c>
      <c r="C19" s="167"/>
      <c r="D19" s="167"/>
      <c r="E19" s="167"/>
      <c r="F19" s="167"/>
      <c r="G19" s="167"/>
      <c r="H19" s="168"/>
    </row>
    <row r="20">
      <c r="A20" s="165" t="s">
        <v>212</v>
      </c>
      <c r="B20" s="166">
        <v>10.0</v>
      </c>
      <c r="C20" s="166" t="s">
        <v>213</v>
      </c>
      <c r="D20" s="167"/>
      <c r="E20" s="167"/>
      <c r="F20" s="167"/>
      <c r="G20" s="167"/>
      <c r="H20" s="168"/>
    </row>
    <row r="21">
      <c r="A21" s="165" t="s">
        <v>214</v>
      </c>
      <c r="B21" s="175" t="s">
        <v>215</v>
      </c>
      <c r="C21" s="166" t="s">
        <v>216</v>
      </c>
      <c r="D21" s="167"/>
      <c r="E21" s="167"/>
      <c r="F21" s="167"/>
      <c r="G21" s="167"/>
      <c r="H21" s="168"/>
    </row>
    <row r="22">
      <c r="A22" s="165" t="s">
        <v>217</v>
      </c>
      <c r="B22" s="175" t="s">
        <v>193</v>
      </c>
      <c r="C22" s="167"/>
      <c r="D22" s="167"/>
      <c r="E22" s="167"/>
      <c r="F22" s="167"/>
      <c r="G22" s="167"/>
      <c r="H22" s="168"/>
    </row>
    <row r="23">
      <c r="A23" s="165" t="s">
        <v>222</v>
      </c>
      <c r="B23" s="175" t="s">
        <v>193</v>
      </c>
      <c r="C23" s="167"/>
      <c r="D23" s="167"/>
      <c r="E23" s="167"/>
      <c r="F23" s="167"/>
      <c r="G23" s="167"/>
      <c r="H23" s="168"/>
    </row>
    <row r="24">
      <c r="A24" s="192" t="s">
        <v>223</v>
      </c>
      <c r="B24" s="195">
        <v>1500.0</v>
      </c>
      <c r="C24" s="194" t="s">
        <v>220</v>
      </c>
      <c r="D24" s="178" t="s">
        <v>224</v>
      </c>
      <c r="E24" s="178"/>
      <c r="F24" s="178"/>
      <c r="G24" s="178"/>
      <c r="H24" s="179"/>
      <c r="I24" s="1"/>
    </row>
    <row r="25">
      <c r="A25" s="165" t="s">
        <v>225</v>
      </c>
      <c r="B25" s="175" t="s">
        <v>193</v>
      </c>
      <c r="C25" s="167"/>
      <c r="D25" s="167"/>
      <c r="E25" s="167"/>
      <c r="F25" s="167"/>
      <c r="G25" s="167"/>
      <c r="H25" s="168"/>
    </row>
    <row r="26">
      <c r="A26" s="165" t="s">
        <v>226</v>
      </c>
      <c r="B26" s="166">
        <v>10.0</v>
      </c>
      <c r="C26" s="175" t="s">
        <v>227</v>
      </c>
      <c r="D26" s="167"/>
      <c r="E26" s="166" t="s">
        <v>228</v>
      </c>
      <c r="F26" s="166" t="s">
        <v>229</v>
      </c>
      <c r="G26" s="167"/>
      <c r="H26" s="168"/>
    </row>
    <row r="27">
      <c r="A27" s="165" t="s">
        <v>230</v>
      </c>
      <c r="B27" s="166" t="s">
        <v>427</v>
      </c>
      <c r="C27" s="167"/>
      <c r="D27" s="167"/>
      <c r="E27" s="167"/>
      <c r="F27" s="167"/>
      <c r="G27" s="167"/>
      <c r="H27" s="168"/>
      <c r="I27" s="10" t="s">
        <v>185</v>
      </c>
    </row>
    <row r="28">
      <c r="A28" s="197" t="s">
        <v>232</v>
      </c>
      <c r="B28" s="166" t="s">
        <v>428</v>
      </c>
      <c r="C28" s="166"/>
      <c r="D28" s="167"/>
      <c r="E28" s="167"/>
      <c r="F28" s="167"/>
      <c r="G28" s="167"/>
      <c r="H28" s="168"/>
      <c r="I28" s="10" t="s">
        <v>185</v>
      </c>
    </row>
    <row r="29">
      <c r="A29" s="197" t="s">
        <v>234</v>
      </c>
      <c r="B29" s="166" t="s">
        <v>429</v>
      </c>
      <c r="C29" s="166"/>
      <c r="D29" s="167"/>
      <c r="E29" s="167"/>
      <c r="F29" s="167"/>
      <c r="G29" s="167"/>
      <c r="H29" s="168"/>
      <c r="I29" s="10" t="s">
        <v>185</v>
      </c>
    </row>
    <row r="30">
      <c r="A30" s="317" t="s">
        <v>236</v>
      </c>
      <c r="B30" s="194" t="s">
        <v>237</v>
      </c>
      <c r="C30" s="194" t="s">
        <v>238</v>
      </c>
      <c r="D30" s="167"/>
      <c r="E30" s="167"/>
      <c r="F30" s="167"/>
      <c r="G30" s="167"/>
      <c r="H30" s="168"/>
    </row>
    <row r="31">
      <c r="A31" s="199"/>
      <c r="B31" s="194" t="s">
        <v>239</v>
      </c>
      <c r="C31" s="194"/>
      <c r="D31" s="167"/>
      <c r="E31" s="167"/>
      <c r="F31" s="167"/>
      <c r="G31" s="167"/>
      <c r="H31" s="168"/>
    </row>
    <row r="32">
      <c r="A32" s="199"/>
      <c r="B32" s="194" t="s">
        <v>240</v>
      </c>
      <c r="C32" s="194"/>
      <c r="D32" s="167"/>
      <c r="E32" s="167"/>
      <c r="F32" s="167"/>
      <c r="G32" s="167"/>
      <c r="H32" s="168"/>
    </row>
    <row r="33">
      <c r="A33" s="199"/>
      <c r="B33" s="194" t="s">
        <v>241</v>
      </c>
      <c r="C33" s="194"/>
      <c r="D33" s="167"/>
      <c r="E33" s="167"/>
      <c r="F33" s="167"/>
      <c r="G33" s="167"/>
      <c r="H33" s="168"/>
    </row>
    <row r="34">
      <c r="A34" s="199"/>
      <c r="B34" s="194" t="s">
        <v>242</v>
      </c>
      <c r="C34" s="194"/>
      <c r="D34" s="167"/>
      <c r="E34" s="167"/>
      <c r="F34" s="167"/>
      <c r="G34" s="167"/>
      <c r="H34" s="168"/>
    </row>
    <row r="35">
      <c r="A35" s="197" t="s">
        <v>22</v>
      </c>
      <c r="B35" s="166"/>
      <c r="C35" s="167"/>
      <c r="D35" s="167"/>
      <c r="E35" s="167"/>
      <c r="F35" s="167"/>
      <c r="G35" s="167"/>
      <c r="H35" s="168"/>
    </row>
    <row r="36">
      <c r="A36" s="201"/>
      <c r="B36" s="166"/>
      <c r="C36" s="167"/>
      <c r="D36" s="167"/>
      <c r="E36" s="167"/>
      <c r="F36" s="167"/>
      <c r="G36" s="167"/>
      <c r="H36" s="168"/>
    </row>
    <row r="37">
      <c r="A37" s="201"/>
      <c r="B37" s="167"/>
      <c r="C37" s="167"/>
      <c r="D37" s="167"/>
      <c r="E37" s="167"/>
      <c r="F37" s="167"/>
      <c r="G37" s="167"/>
      <c r="H37" s="168"/>
    </row>
    <row r="38">
      <c r="A38" s="202" t="s">
        <v>245</v>
      </c>
      <c r="B38" s="204"/>
      <c r="C38" s="204"/>
      <c r="D38" s="204"/>
      <c r="E38" s="204"/>
      <c r="F38" s="204"/>
      <c r="G38" s="204"/>
      <c r="H38" s="205"/>
      <c r="I38" s="1"/>
    </row>
    <row r="39">
      <c r="A39" s="13" t="s">
        <v>246</v>
      </c>
      <c r="B39" s="7" t="s">
        <v>430</v>
      </c>
      <c r="C39" s="1"/>
      <c r="D39" s="1"/>
      <c r="E39" s="1"/>
      <c r="F39" s="1"/>
      <c r="G39" s="1"/>
      <c r="H39" s="206"/>
      <c r="I39" s="1"/>
    </row>
    <row r="40">
      <c r="A40" s="13" t="s">
        <v>359</v>
      </c>
      <c r="B40" s="208" t="s">
        <v>431</v>
      </c>
      <c r="C40" s="178"/>
      <c r="D40" s="178"/>
      <c r="E40" s="178"/>
      <c r="F40" s="178"/>
      <c r="G40" s="178"/>
      <c r="H40" s="179"/>
      <c r="I40" s="1"/>
    </row>
    <row r="41">
      <c r="A41" s="211" t="s">
        <v>250</v>
      </c>
      <c r="B41" s="212"/>
      <c r="C41" s="212"/>
      <c r="D41" s="212"/>
      <c r="E41" s="212"/>
      <c r="F41" s="212"/>
      <c r="G41" s="212"/>
      <c r="H41" s="213"/>
    </row>
    <row r="42" ht="78.75" customHeight="1">
      <c r="A42" s="214" t="s">
        <v>251</v>
      </c>
      <c r="B42" s="215" t="s">
        <v>432</v>
      </c>
      <c r="C42" s="216"/>
      <c r="D42" s="10" t="s">
        <v>433</v>
      </c>
      <c r="E42" s="217" t="s">
        <v>253</v>
      </c>
      <c r="F42" s="218"/>
      <c r="G42" s="218"/>
      <c r="I42" s="219" t="s">
        <v>21</v>
      </c>
    </row>
    <row r="43" ht="18.75" customHeight="1">
      <c r="A43" s="214" t="s">
        <v>254</v>
      </c>
      <c r="B43" s="220" t="str">
        <f>IFERROR(__xludf.DUMMYFUNCTION("VLOOKUP(C43,IMPORTRANGE(""https://docs.google.com/spreadsheets/d/1oJmkDK37Qizzdaxn4KCwh1BMwdNWuHCx3AGH8BC9yu0/edit?gid=781951868#gid=781951868"",""キャラ!D:F""),3,false)"),"第三部隊隊長 亜白 ミナ")</f>
        <v>第三部隊隊長 亜白 ミナ</v>
      </c>
      <c r="C43" s="224" t="s">
        <v>279</v>
      </c>
      <c r="D43" s="222"/>
      <c r="E43" s="218"/>
      <c r="F43" s="218"/>
      <c r="I43" s="219" t="s">
        <v>21</v>
      </c>
    </row>
    <row r="44" ht="78.75" customHeight="1">
      <c r="A44" s="214" t="s">
        <v>256</v>
      </c>
      <c r="B44" s="318" t="s">
        <v>434</v>
      </c>
      <c r="C44" s="224"/>
      <c r="E44" s="217" t="s">
        <v>258</v>
      </c>
      <c r="F44" s="218"/>
      <c r="I44" s="219" t="s">
        <v>259</v>
      </c>
    </row>
    <row r="45">
      <c r="A45" s="214" t="s">
        <v>384</v>
      </c>
      <c r="B45" s="220" t="str">
        <f>IFERROR(__xludf.DUMMYFUNCTION("VLOOKUP(C45,IMPORTRANGE(""https://docs.google.com/spreadsheets/d/1oJmkDK37Qizzdaxn4KCwh1BMwdNWuHCx3AGH8BC9yu0/edit?gid=781951868#gid=781951868"",""キャラ!D:F""),3,false)"),"姉を想う盲愛 ユーリ・ブライア")</f>
        <v>姉を想う盲愛 ユーリ・ブライア</v>
      </c>
      <c r="C45" s="214" t="s">
        <v>280</v>
      </c>
      <c r="E45" s="319"/>
      <c r="F45" s="218"/>
      <c r="I45" s="219" t="s">
        <v>21</v>
      </c>
    </row>
    <row r="46">
      <c r="A46" s="214" t="s">
        <v>386</v>
      </c>
      <c r="B46" s="318" t="s">
        <v>435</v>
      </c>
      <c r="C46" s="320"/>
      <c r="E46" s="319"/>
      <c r="F46" s="218"/>
      <c r="I46" s="219" t="s">
        <v>259</v>
      </c>
    </row>
    <row r="47">
      <c r="A47" s="214" t="s">
        <v>384</v>
      </c>
      <c r="B47" s="220" t="str">
        <f>IFERROR(__xludf.DUMMYFUNCTION("VLOOKUP(C47,IMPORTRANGE(""https://docs.google.com/spreadsheets/d/1oJmkDK37Qizzdaxn4KCwh1BMwdNWuHCx3AGH8BC9yu0/edit?gid=781951868#gid=781951868"",""キャラ!D:F""),3,false)"),"保科 宗四郎")</f>
        <v>保科 宗四郎</v>
      </c>
      <c r="C47" s="214" t="s">
        <v>297</v>
      </c>
      <c r="E47" s="319"/>
      <c r="F47" s="218"/>
      <c r="I47" s="219"/>
    </row>
    <row r="48">
      <c r="A48" s="214" t="s">
        <v>386</v>
      </c>
      <c r="B48" s="318" t="s">
        <v>436</v>
      </c>
      <c r="C48" s="320"/>
      <c r="E48" s="319"/>
      <c r="F48" s="218"/>
      <c r="I48" s="219"/>
    </row>
    <row r="49" ht="78.75" customHeight="1">
      <c r="A49" s="214" t="s">
        <v>260</v>
      </c>
      <c r="B49" s="225" t="s">
        <v>437</v>
      </c>
      <c r="C49" s="226"/>
      <c r="E49" s="217" t="s">
        <v>253</v>
      </c>
      <c r="F49" s="219" t="s">
        <v>262</v>
      </c>
      <c r="I49" s="219" t="s">
        <v>21</v>
      </c>
    </row>
    <row r="50">
      <c r="A50" s="336" t="s">
        <v>438</v>
      </c>
      <c r="B50" s="204"/>
      <c r="C50" s="204"/>
      <c r="D50" s="204"/>
      <c r="E50" s="204"/>
      <c r="F50" s="204"/>
      <c r="G50" s="204"/>
      <c r="H50" s="205"/>
      <c r="I50" s="164"/>
    </row>
    <row r="51">
      <c r="A51" s="337" t="s">
        <v>398</v>
      </c>
      <c r="B51" s="338" t="s">
        <v>439</v>
      </c>
      <c r="C51" s="339" t="s">
        <v>403</v>
      </c>
      <c r="D51" s="338" t="s">
        <v>439</v>
      </c>
      <c r="E51" s="337" t="s">
        <v>407</v>
      </c>
      <c r="F51" s="338" t="s">
        <v>439</v>
      </c>
      <c r="G51" s="337" t="s">
        <v>410</v>
      </c>
      <c r="H51" s="338" t="s">
        <v>439</v>
      </c>
      <c r="I51" s="219"/>
    </row>
    <row r="52">
      <c r="A52" s="340" t="s">
        <v>395</v>
      </c>
      <c r="B52" s="341" t="s">
        <v>440</v>
      </c>
      <c r="C52" s="340" t="s">
        <v>395</v>
      </c>
      <c r="D52" s="342" t="s">
        <v>404</v>
      </c>
      <c r="E52" s="340" t="s">
        <v>395</v>
      </c>
      <c r="F52" s="343" t="s">
        <v>441</v>
      </c>
      <c r="G52" s="340" t="s">
        <v>395</v>
      </c>
      <c r="H52" s="342" t="s">
        <v>404</v>
      </c>
      <c r="I52" s="219"/>
    </row>
    <row r="53">
      <c r="A53" s="340" t="s">
        <v>396</v>
      </c>
      <c r="B53" s="342" t="s">
        <v>442</v>
      </c>
      <c r="C53" s="340" t="s">
        <v>396</v>
      </c>
      <c r="D53" s="342" t="s">
        <v>443</v>
      </c>
      <c r="E53" s="340" t="s">
        <v>396</v>
      </c>
      <c r="F53" s="344" t="s">
        <v>444</v>
      </c>
      <c r="G53" s="340" t="s">
        <v>396</v>
      </c>
      <c r="H53" s="342" t="s">
        <v>443</v>
      </c>
      <c r="I53" s="219"/>
    </row>
    <row r="54">
      <c r="A54" s="345" t="s">
        <v>90</v>
      </c>
      <c r="B54" s="346" t="s">
        <v>400</v>
      </c>
      <c r="C54" s="347" t="s">
        <v>90</v>
      </c>
      <c r="D54" s="348" t="s">
        <v>445</v>
      </c>
      <c r="E54" s="347" t="s">
        <v>90</v>
      </c>
      <c r="F54" s="349" t="s">
        <v>400</v>
      </c>
      <c r="G54" s="347" t="s">
        <v>90</v>
      </c>
      <c r="H54" s="348" t="s">
        <v>445</v>
      </c>
      <c r="I54" s="219"/>
    </row>
    <row r="55">
      <c r="A55" s="337" t="s">
        <v>411</v>
      </c>
      <c r="B55" s="338" t="s">
        <v>439</v>
      </c>
      <c r="C55" s="350"/>
      <c r="D55" s="350"/>
      <c r="E55" s="350"/>
      <c r="F55" s="350"/>
      <c r="G55" s="219"/>
      <c r="H55" s="219"/>
      <c r="I55" s="219"/>
    </row>
    <row r="56">
      <c r="A56" s="340" t="s">
        <v>395</v>
      </c>
      <c r="B56" s="342" t="s">
        <v>446</v>
      </c>
      <c r="C56" s="219"/>
      <c r="D56" s="219"/>
      <c r="E56" s="219"/>
      <c r="F56" s="219"/>
      <c r="G56" s="219"/>
      <c r="H56" s="219"/>
      <c r="I56" s="219"/>
    </row>
    <row r="57">
      <c r="A57" s="340" t="s">
        <v>396</v>
      </c>
      <c r="B57" s="351" t="s">
        <v>447</v>
      </c>
      <c r="C57" s="219"/>
      <c r="D57" s="219"/>
      <c r="E57" s="219"/>
      <c r="F57" s="219"/>
      <c r="G57" s="219"/>
      <c r="H57" s="219"/>
      <c r="I57" s="219"/>
    </row>
    <row r="58">
      <c r="A58" s="347" t="s">
        <v>90</v>
      </c>
      <c r="B58" s="348" t="s">
        <v>400</v>
      </c>
      <c r="C58" s="219"/>
      <c r="D58" s="219"/>
      <c r="E58" s="219"/>
      <c r="F58" s="219"/>
      <c r="G58" s="219"/>
      <c r="H58" s="219"/>
      <c r="I58" s="219"/>
    </row>
    <row r="59">
      <c r="A59" s="227" t="s">
        <v>263</v>
      </c>
      <c r="B59" s="204"/>
      <c r="C59" s="204"/>
      <c r="D59" s="204"/>
      <c r="E59" s="204"/>
      <c r="F59" s="204"/>
      <c r="G59" s="204"/>
      <c r="H59" s="205"/>
      <c r="I59" s="164" t="s">
        <v>21</v>
      </c>
    </row>
    <row r="60">
      <c r="A60" s="1"/>
      <c r="B60" s="1"/>
      <c r="C60" s="1"/>
      <c r="D60" s="1"/>
      <c r="E60" s="1"/>
      <c r="F60" s="1"/>
      <c r="G60" s="1"/>
      <c r="H60" s="206"/>
    </row>
    <row r="61">
      <c r="A61" s="1"/>
      <c r="B61" s="229" t="s">
        <v>264</v>
      </c>
      <c r="C61" s="229" t="s">
        <v>265</v>
      </c>
      <c r="D61" s="229" t="s">
        <v>266</v>
      </c>
      <c r="E61" s="3" t="s">
        <v>267</v>
      </c>
      <c r="F61" s="1"/>
      <c r="G61" s="1"/>
      <c r="H61" s="206"/>
    </row>
    <row r="62">
      <c r="A62" s="1" t="s">
        <v>268</v>
      </c>
      <c r="B62" s="321">
        <v>0.015</v>
      </c>
      <c r="C62" s="231">
        <f t="shared" ref="C62:C67" si="1">countif($C$72:$C$115,A62)</f>
        <v>2</v>
      </c>
      <c r="D62" s="232">
        <f t="shared" ref="D62:D67" si="2">$D$68*B62</f>
        <v>1404</v>
      </c>
      <c r="E62" s="233">
        <f t="shared" ref="E62:E67" si="3">IFERROR(D62/C62,"0")</f>
        <v>702</v>
      </c>
      <c r="F62" s="1"/>
      <c r="G62" s="1"/>
      <c r="H62" s="206"/>
    </row>
    <row r="63">
      <c r="A63" s="1" t="s">
        <v>269</v>
      </c>
      <c r="B63" s="322">
        <v>0.015</v>
      </c>
      <c r="C63" s="231">
        <f t="shared" si="1"/>
        <v>13</v>
      </c>
      <c r="D63" s="232">
        <f t="shared" si="2"/>
        <v>1404</v>
      </c>
      <c r="E63" s="233">
        <f t="shared" si="3"/>
        <v>108</v>
      </c>
      <c r="F63" s="1"/>
      <c r="G63" s="1"/>
      <c r="H63" s="206"/>
    </row>
    <row r="64">
      <c r="A64" s="1" t="s">
        <v>388</v>
      </c>
      <c r="B64" s="321">
        <v>0.015</v>
      </c>
      <c r="C64" s="231">
        <f t="shared" si="1"/>
        <v>1</v>
      </c>
      <c r="D64" s="232">
        <f t="shared" si="2"/>
        <v>1404</v>
      </c>
      <c r="E64" s="233">
        <f t="shared" si="3"/>
        <v>1404</v>
      </c>
      <c r="F64" s="1"/>
      <c r="G64" s="1"/>
      <c r="H64" s="206"/>
    </row>
    <row r="65">
      <c r="A65" s="1" t="s">
        <v>270</v>
      </c>
      <c r="B65" s="322">
        <v>0.085</v>
      </c>
      <c r="C65" s="231">
        <f t="shared" si="1"/>
        <v>9</v>
      </c>
      <c r="D65" s="232">
        <f t="shared" si="2"/>
        <v>7956</v>
      </c>
      <c r="E65" s="233">
        <f t="shared" si="3"/>
        <v>884</v>
      </c>
      <c r="F65" s="1"/>
      <c r="G65" s="1"/>
      <c r="H65" s="206"/>
    </row>
    <row r="66">
      <c r="A66" s="1" t="s">
        <v>271</v>
      </c>
      <c r="B66" s="234">
        <v>0.35</v>
      </c>
      <c r="C66" s="231">
        <f t="shared" si="1"/>
        <v>10</v>
      </c>
      <c r="D66" s="232">
        <f t="shared" si="2"/>
        <v>32760</v>
      </c>
      <c r="E66" s="233">
        <f t="shared" si="3"/>
        <v>3276</v>
      </c>
      <c r="F66" s="1"/>
      <c r="G66" s="1"/>
      <c r="H66" s="206"/>
    </row>
    <row r="67">
      <c r="A67" s="235" t="s">
        <v>272</v>
      </c>
      <c r="B67" s="236">
        <v>0.52</v>
      </c>
      <c r="C67" s="231">
        <f t="shared" si="1"/>
        <v>9</v>
      </c>
      <c r="D67" s="237">
        <f t="shared" si="2"/>
        <v>48672</v>
      </c>
      <c r="E67" s="233">
        <f t="shared" si="3"/>
        <v>5408</v>
      </c>
      <c r="F67" s="1"/>
      <c r="G67" s="1"/>
      <c r="H67" s="206"/>
    </row>
    <row r="68">
      <c r="A68" s="278" t="s">
        <v>93</v>
      </c>
      <c r="B68" s="238">
        <f>sum(B62:B67)</f>
        <v>1</v>
      </c>
      <c r="C68" s="239">
        <f>COUNTA(B72:B115)</f>
        <v>44</v>
      </c>
      <c r="D68" s="323">
        <v>93600.0</v>
      </c>
      <c r="E68" s="1"/>
      <c r="F68" s="1"/>
      <c r="G68" s="1"/>
      <c r="H68" s="206"/>
    </row>
    <row r="69">
      <c r="A69" s="1"/>
      <c r="B69" s="1"/>
      <c r="C69" s="231">
        <f>sum(C62:C67)</f>
        <v>44</v>
      </c>
      <c r="D69" s="1"/>
      <c r="E69" s="1"/>
      <c r="F69" s="1"/>
      <c r="G69" s="1"/>
      <c r="H69" s="206"/>
    </row>
    <row r="70">
      <c r="A70" s="68"/>
      <c r="B70" s="1"/>
      <c r="C70" s="1"/>
      <c r="D70" s="68"/>
      <c r="E70" s="1"/>
      <c r="F70" s="1"/>
      <c r="G70" s="1"/>
      <c r="H70" s="206"/>
      <c r="I70" s="324"/>
    </row>
    <row r="71">
      <c r="A71" s="243" t="s">
        <v>273</v>
      </c>
      <c r="B71" s="325" t="s">
        <v>274</v>
      </c>
      <c r="C71" s="325" t="s">
        <v>275</v>
      </c>
      <c r="D71" s="245" t="s">
        <v>276</v>
      </c>
      <c r="E71" s="326" t="s">
        <v>277</v>
      </c>
      <c r="F71" s="327" t="s">
        <v>278</v>
      </c>
      <c r="G71" s="68"/>
      <c r="H71" s="206"/>
    </row>
    <row r="72">
      <c r="A72" s="248" t="s">
        <v>279</v>
      </c>
      <c r="B72" s="249" t="str">
        <f>IFERROR(__xludf.DUMMYFUNCTION("VLOOKUP(A72,IMPORTRANGE(""https://docs.google.com/spreadsheets/d/1oJmkDK37Qizzdaxn4KCwh1BMwdNWuHCx3AGH8BC9yu0/edit?gid=781951868#gid=781951868"",""キャラ!D:F""),3,false)"),"第三部隊隊長 亜白 ミナ")</f>
        <v>第三部隊隊長 亜白 ミナ</v>
      </c>
      <c r="C72" s="250" t="s">
        <v>268</v>
      </c>
      <c r="D72" s="251">
        <f t="shared" ref="D72:D115" si="4">vlookup(C72,$A$62:$D$67,4,false)/vlookup(C72,$A$62:$D$67,3,false)</f>
        <v>702</v>
      </c>
      <c r="E72" s="252">
        <f>IFERROR(rounddown(F72/$C$62,5),"0%")</f>
        <v>0.0075</v>
      </c>
      <c r="F72" s="330">
        <v>0.015</v>
      </c>
      <c r="G72" s="1" t="s">
        <v>389</v>
      </c>
      <c r="H72" s="206"/>
    </row>
    <row r="73">
      <c r="A73" s="248" t="s">
        <v>280</v>
      </c>
      <c r="B73" s="249" t="str">
        <f>IFERROR(__xludf.DUMMYFUNCTION("VLOOKUP(A73,IMPORTRANGE(""https://docs.google.com/spreadsheets/d/1oJmkDK37Qizzdaxn4KCwh1BMwdNWuHCx3AGH8BC9yu0/edit?gid=781951868#gid=781951868"",""キャラ!D:F""),3,false)"),"姉を想う盲愛 ユーリ・ブライア")</f>
        <v>姉を想う盲愛 ユーリ・ブライア</v>
      </c>
      <c r="C73" s="250" t="s">
        <v>268</v>
      </c>
      <c r="D73" s="251">
        <f t="shared" si="4"/>
        <v>702</v>
      </c>
      <c r="E73" s="252">
        <f>IFERROR(rounddown(F72/$C$62,5),"0%")</f>
        <v>0.0075</v>
      </c>
      <c r="F73" s="257"/>
      <c r="G73" s="1"/>
      <c r="H73" s="206"/>
    </row>
    <row r="74">
      <c r="A74" s="248" t="s">
        <v>284</v>
      </c>
      <c r="B74" s="249" t="str">
        <f>IFERROR(__xludf.DUMMYFUNCTION("VLOOKUP(A74,IMPORTRANGE(""https://docs.google.com/spreadsheets/d/1oJmkDK37Qizzdaxn4KCwh1BMwdNWuHCx3AGH8BC9yu0/edit?gid=781951868#gid=781951868"",""キャラ!D:F""),3,false)"),"&lt;黄昏&gt; ロイド")</f>
        <v>&lt;黄昏&gt; ロイド</v>
      </c>
      <c r="C74" s="255" t="s">
        <v>269</v>
      </c>
      <c r="D74" s="256">
        <f t="shared" si="4"/>
        <v>108</v>
      </c>
      <c r="E74" s="252">
        <f t="shared" ref="E74:E86" si="5">IFERROR(rounddown($F$74/$C$63,5),"0%")</f>
        <v>0.00115</v>
      </c>
      <c r="F74" s="330">
        <v>0.015</v>
      </c>
      <c r="G74" s="1"/>
      <c r="H74" s="206"/>
    </row>
    <row r="75">
      <c r="A75" s="248" t="s">
        <v>285</v>
      </c>
      <c r="B75" s="249" t="str">
        <f>IFERROR(__xludf.DUMMYFUNCTION("VLOOKUP(A75,IMPORTRANGE(""https://docs.google.com/spreadsheets/d/1oJmkDK37Qizzdaxn4KCwh1BMwdNWuHCx3AGH8BC9yu0/edit?gid=781951868#gid=781951868"",""キャラ!D:F""),3,false)"),"&lt;いばら姫&gt; ヨル")</f>
        <v>&lt;いばら姫&gt; ヨル</v>
      </c>
      <c r="C75" s="255" t="s">
        <v>269</v>
      </c>
      <c r="D75" s="256">
        <f t="shared" si="4"/>
        <v>108</v>
      </c>
      <c r="E75" s="252">
        <f t="shared" si="5"/>
        <v>0.00115</v>
      </c>
      <c r="F75" s="257"/>
      <c r="G75" s="1"/>
      <c r="H75" s="206"/>
    </row>
    <row r="76">
      <c r="A76" s="248" t="s">
        <v>286</v>
      </c>
      <c r="B76" s="249" t="str">
        <f>IFERROR(__xludf.DUMMYFUNCTION("VLOOKUP(A76,IMPORTRANGE(""https://docs.google.com/spreadsheets/d/1oJmkDK37Qizzdaxn4KCwh1BMwdNWuHCx3AGH8BC9yu0/edit?gid=781951868#gid=781951868"",""キャラ!D:F""),3,false)"),"わくわく アーニャ")</f>
        <v>わくわく アーニャ</v>
      </c>
      <c r="C76" s="255" t="s">
        <v>269</v>
      </c>
      <c r="D76" s="256">
        <f t="shared" si="4"/>
        <v>108</v>
      </c>
      <c r="E76" s="252">
        <f t="shared" si="5"/>
        <v>0.00115</v>
      </c>
      <c r="F76" s="257"/>
      <c r="G76" s="1"/>
      <c r="H76" s="206"/>
    </row>
    <row r="77">
      <c r="A77" s="248" t="s">
        <v>287</v>
      </c>
      <c r="B77" s="249" t="str">
        <f>IFERROR(__xludf.DUMMYFUNCTION("VLOOKUP(A77,IMPORTRANGE(""https://docs.google.com/spreadsheets/d/1oJmkDK37Qizzdaxn4KCwh1BMwdNWuHCx3AGH8BC9yu0/edit?gid=781951868#gid=781951868"",""キャラ!D:F""),3,false)"),"ターボババアの霊力 オカルン")</f>
        <v>ターボババアの霊力 オカルン</v>
      </c>
      <c r="C77" s="255" t="s">
        <v>269</v>
      </c>
      <c r="D77" s="256">
        <f t="shared" si="4"/>
        <v>108</v>
      </c>
      <c r="E77" s="252">
        <f t="shared" si="5"/>
        <v>0.00115</v>
      </c>
      <c r="F77" s="257"/>
      <c r="G77" s="1"/>
      <c r="H77" s="206"/>
    </row>
    <row r="78">
      <c r="A78" s="248" t="s">
        <v>288</v>
      </c>
      <c r="B78" s="249" t="str">
        <f>IFERROR(__xludf.DUMMYFUNCTION("VLOOKUP(A78,IMPORTRANGE(""https://docs.google.com/spreadsheets/d/1oJmkDK37Qizzdaxn4KCwh1BMwdNWuHCx3AGH8BC9yu0/edit?gid=781951868#gid=781951868"",""キャラ!D:F""),3,false)"),"囚われの王女 姫様")</f>
        <v>囚われの王女 姫様</v>
      </c>
      <c r="C78" s="255" t="s">
        <v>269</v>
      </c>
      <c r="D78" s="256">
        <f t="shared" si="4"/>
        <v>108</v>
      </c>
      <c r="E78" s="252">
        <f t="shared" si="5"/>
        <v>0.00115</v>
      </c>
      <c r="F78" s="257"/>
      <c r="G78" s="1"/>
      <c r="H78" s="206"/>
    </row>
    <row r="79">
      <c r="A79" s="248" t="s">
        <v>289</v>
      </c>
      <c r="B79" s="249" t="str">
        <f>IFERROR(__xludf.DUMMYFUNCTION("VLOOKUP(A79,IMPORTRANGE(""https://docs.google.com/spreadsheets/d/1oJmkDK37Qizzdaxn4KCwh1BMwdNWuHCx3AGH8BC9yu0/edit?gid=781951868#gid=781951868"",""キャラ!D:F""),3,false)"),"悪魔が恐れる悪魔 チェンソーマン")</f>
        <v>悪魔が恐れる悪魔 チェンソーマン</v>
      </c>
      <c r="C79" s="255" t="s">
        <v>269</v>
      </c>
      <c r="D79" s="256">
        <f t="shared" si="4"/>
        <v>108</v>
      </c>
      <c r="E79" s="252">
        <f t="shared" si="5"/>
        <v>0.00115</v>
      </c>
      <c r="F79" s="257"/>
      <c r="G79" s="1"/>
      <c r="H79" s="206"/>
    </row>
    <row r="80">
      <c r="A80" s="248" t="s">
        <v>290</v>
      </c>
      <c r="B80" s="249" t="str">
        <f>IFERROR(__xludf.DUMMYFUNCTION("VLOOKUP(A80,IMPORTRANGE(""https://docs.google.com/spreadsheets/d/1oJmkDK37Qizzdaxn4KCwh1BMwdNWuHCx3AGH8BC9yu0/edit?gid=781951868#gid=781951868"",""キャラ!D:F""),3,false)"),"隠された英雄の姿 怪獣８号")</f>
        <v>隠された英雄の姿 怪獣８号</v>
      </c>
      <c r="C80" s="255" t="s">
        <v>269</v>
      </c>
      <c r="D80" s="256">
        <f t="shared" si="4"/>
        <v>108</v>
      </c>
      <c r="E80" s="252">
        <f t="shared" si="5"/>
        <v>0.00115</v>
      </c>
      <c r="F80" s="257"/>
      <c r="G80" s="1"/>
      <c r="H80" s="206"/>
    </row>
    <row r="81">
      <c r="A81" s="248" t="s">
        <v>291</v>
      </c>
      <c r="B81" s="249" t="str">
        <f>IFERROR(__xludf.DUMMYFUNCTION("VLOOKUP(A81,IMPORTRANGE(""https://docs.google.com/spreadsheets/d/1oJmkDK37Qizzdaxn4KCwh1BMwdNWuHCx3AGH8BC9yu0/edit?gid=781951868#gid=781951868"",""キャラ!D:F""),3,false)"),"リリエルに捧ぐ愛 天乃 リリサ")</f>
        <v>リリエルに捧ぐ愛 天乃 リリサ</v>
      </c>
      <c r="C81" s="255" t="s">
        <v>269</v>
      </c>
      <c r="D81" s="256">
        <f t="shared" si="4"/>
        <v>108</v>
      </c>
      <c r="E81" s="252">
        <f t="shared" si="5"/>
        <v>0.00115</v>
      </c>
      <c r="F81" s="257"/>
      <c r="G81" s="1"/>
      <c r="H81" s="206"/>
    </row>
    <row r="82">
      <c r="A82" s="248" t="s">
        <v>292</v>
      </c>
      <c r="B82" s="249" t="str">
        <f>IFERROR(__xludf.DUMMYFUNCTION("VLOOKUP(A82,IMPORTRANGE(""https://docs.google.com/spreadsheets/d/1oJmkDK37Qizzdaxn4KCwh1BMwdNWuHCx3AGH8BC9yu0/edit?gid=781951868#gid=781951868"",""キャラ!D:F""),3,false)"),"コスプレに託す乙女心 橘 美花莉")</f>
        <v>コスプレに託す乙女心 橘 美花莉</v>
      </c>
      <c r="C82" s="255" t="s">
        <v>269</v>
      </c>
      <c r="D82" s="256">
        <f t="shared" si="4"/>
        <v>108</v>
      </c>
      <c r="E82" s="252">
        <f t="shared" si="5"/>
        <v>0.00115</v>
      </c>
      <c r="F82" s="257"/>
      <c r="G82" s="1"/>
      <c r="H82" s="206"/>
    </row>
    <row r="83">
      <c r="A83" s="248" t="s">
        <v>293</v>
      </c>
      <c r="B83" s="249" t="str">
        <f>IFERROR(__xludf.DUMMYFUNCTION("VLOOKUP(A83,IMPORTRANGE(""https://docs.google.com/spreadsheets/d/1oJmkDK37Qizzdaxn4KCwh1BMwdNWuHCx3AGH8BC9yu0/edit?gid=781951868#gid=781951868"",""キャラ!D:F""),3,false)"),"誇り高き魔都の剣姫 羽前 京香")</f>
        <v>誇り高き魔都の剣姫 羽前 京香</v>
      </c>
      <c r="C83" s="255" t="s">
        <v>269</v>
      </c>
      <c r="D83" s="256">
        <f t="shared" si="4"/>
        <v>108</v>
      </c>
      <c r="E83" s="252">
        <f t="shared" si="5"/>
        <v>0.00115</v>
      </c>
      <c r="F83" s="257"/>
      <c r="G83" s="1"/>
      <c r="H83" s="206"/>
    </row>
    <row r="84">
      <c r="A84" s="248" t="s">
        <v>294</v>
      </c>
      <c r="B84" s="249" t="str">
        <f>IFERROR(__xludf.DUMMYFUNCTION("VLOOKUP(A84,IMPORTRANGE(""https://docs.google.com/spreadsheets/d/1oJmkDK37Qizzdaxn4KCwh1BMwdNWuHCx3AGH8BC9yu0/edit?gid=781951868#gid=781951868"",""キャラ!D:F""),3,false)"),"がらんの画眉丸")</f>
        <v>がらんの画眉丸</v>
      </c>
      <c r="C84" s="255" t="s">
        <v>269</v>
      </c>
      <c r="D84" s="256">
        <f t="shared" si="4"/>
        <v>108</v>
      </c>
      <c r="E84" s="252">
        <f t="shared" si="5"/>
        <v>0.00115</v>
      </c>
      <c r="F84" s="257"/>
      <c r="G84" s="1"/>
      <c r="H84" s="206"/>
    </row>
    <row r="85">
      <c r="A85" s="248" t="s">
        <v>295</v>
      </c>
      <c r="B85" s="249" t="str">
        <f>IFERROR(__xludf.DUMMYFUNCTION("VLOOKUP(A85,IMPORTRANGE(""https://docs.google.com/spreadsheets/d/1oJmkDK37Qizzdaxn4KCwh1BMwdNWuHCx3AGH8BC9yu0/edit?gid=781951868#gid=781951868"",""キャラ!D:F""),3,false)"),"新人魔法少女 桜木 カナ")</f>
        <v>新人魔法少女 桜木 カナ</v>
      </c>
      <c r="C85" s="255" t="s">
        <v>269</v>
      </c>
      <c r="D85" s="256">
        <f t="shared" si="4"/>
        <v>108</v>
      </c>
      <c r="E85" s="252">
        <f t="shared" si="5"/>
        <v>0.00115</v>
      </c>
      <c r="F85" s="257"/>
      <c r="G85" s="1"/>
      <c r="H85" s="206"/>
    </row>
    <row r="86">
      <c r="A86" s="248" t="s">
        <v>296</v>
      </c>
      <c r="B86" s="249" t="str">
        <f>IFERROR(__xludf.DUMMYFUNCTION("VLOOKUP(A86,IMPORTRANGE(""https://docs.google.com/spreadsheets/d/1oJmkDK37Qizzdaxn4KCwh1BMwdNWuHCx3AGH8BC9yu0/edit?gid=781951868#gid=781951868"",""キャラ!D:F""),3,false)"),"影のウシオ 小舟 潮")</f>
        <v>影のウシオ 小舟 潮</v>
      </c>
      <c r="C86" s="255" t="s">
        <v>269</v>
      </c>
      <c r="D86" s="256">
        <f t="shared" si="4"/>
        <v>108</v>
      </c>
      <c r="E86" s="252">
        <f t="shared" si="5"/>
        <v>0.00115</v>
      </c>
      <c r="F86" s="264"/>
      <c r="G86" s="1"/>
      <c r="H86" s="206"/>
    </row>
    <row r="87">
      <c r="A87" s="248" t="s">
        <v>297</v>
      </c>
      <c r="B87" s="249" t="str">
        <f>IFERROR(__xludf.DUMMYFUNCTION("VLOOKUP(A87,IMPORTRANGE(""https://docs.google.com/spreadsheets/d/1oJmkDK37Qizzdaxn4KCwh1BMwdNWuHCx3AGH8BC9yu0/edit?gid=781951868#gid=781951868"",""キャラ!D:F""),3,false)"),"保科 宗四郎")</f>
        <v>保科 宗四郎</v>
      </c>
      <c r="C87" s="328" t="s">
        <v>388</v>
      </c>
      <c r="D87" s="266">
        <f t="shared" si="4"/>
        <v>1404</v>
      </c>
      <c r="E87" s="252">
        <f>IFERROR(rounddown($F$87/$C$64,5),"0%")</f>
        <v>0.015</v>
      </c>
      <c r="F87" s="285">
        <v>0.015</v>
      </c>
      <c r="G87" s="1"/>
      <c r="H87" s="206"/>
    </row>
    <row r="88">
      <c r="A88" s="263" t="s">
        <v>304</v>
      </c>
      <c r="B88" s="249" t="str">
        <f>IFERROR(__xludf.DUMMYFUNCTION("VLOOKUP(A88,IMPORTRANGE(""https://docs.google.com/spreadsheets/d/1oJmkDK37Qizzdaxn4KCwh1BMwdNWuHCx3AGH8BC9yu0/edit?gid=781951868#gid=781951868"",""キャラ!D:F""),3,false)"),"モモ")</f>
        <v>モモ</v>
      </c>
      <c r="C88" s="265" t="s">
        <v>270</v>
      </c>
      <c r="D88" s="266">
        <f t="shared" si="4"/>
        <v>884</v>
      </c>
      <c r="E88" s="252">
        <f t="shared" ref="E88:E96" si="6">IFERROR(rounddown($F$88/$C$65,5),"0%")</f>
        <v>0.00944</v>
      </c>
      <c r="F88" s="285">
        <v>0.085</v>
      </c>
      <c r="G88" s="1"/>
      <c r="H88" s="206"/>
    </row>
    <row r="89">
      <c r="A89" s="263" t="s">
        <v>305</v>
      </c>
      <c r="B89" s="249" t="str">
        <f>IFERROR(__xludf.DUMMYFUNCTION("VLOOKUP(A89,IMPORTRANGE(""https://docs.google.com/spreadsheets/d/1oJmkDK37Qizzdaxn4KCwh1BMwdNWuHCx3AGH8BC9yu0/edit?gid=781951868#gid=781951868"",""キャラ!D:F""),3,false)"),"早川 アキ")</f>
        <v>早川 アキ</v>
      </c>
      <c r="C89" s="265" t="s">
        <v>270</v>
      </c>
      <c r="D89" s="266">
        <f t="shared" si="4"/>
        <v>884</v>
      </c>
      <c r="E89" s="252">
        <f t="shared" si="6"/>
        <v>0.00944</v>
      </c>
      <c r="F89" s="257"/>
      <c r="G89" s="1"/>
      <c r="H89" s="206"/>
    </row>
    <row r="90">
      <c r="A90" s="263" t="s">
        <v>306</v>
      </c>
      <c r="B90" s="249" t="str">
        <f>IFERROR(__xludf.DUMMYFUNCTION("VLOOKUP(A90,IMPORTRANGE(""https://docs.google.com/spreadsheets/d/1oJmkDK37Qizzdaxn4KCwh1BMwdNWuHCx3AGH8BC9yu0/edit?gid=781951868#gid=781951868"",""キャラ!D:F""),3,false)"),"パワー")</f>
        <v>パワー</v>
      </c>
      <c r="C90" s="265" t="s">
        <v>270</v>
      </c>
      <c r="D90" s="266">
        <f t="shared" si="4"/>
        <v>884</v>
      </c>
      <c r="E90" s="252">
        <f t="shared" si="6"/>
        <v>0.00944</v>
      </c>
      <c r="F90" s="257"/>
      <c r="G90" s="1"/>
      <c r="H90" s="206"/>
    </row>
    <row r="91">
      <c r="A91" s="263" t="s">
        <v>307</v>
      </c>
      <c r="B91" s="249" t="str">
        <f>IFERROR(__xludf.DUMMYFUNCTION("VLOOKUP(A91,IMPORTRANGE(""https://docs.google.com/spreadsheets/d/1oJmkDK37Qizzdaxn4KCwh1BMwdNWuHCx3AGH8BC9yu0/edit?gid=781951868#gid=781951868"",""キャラ!D:F""),3,false)"),"四ノ宮 キコル")</f>
        <v>四ノ宮 キコル</v>
      </c>
      <c r="C91" s="265" t="s">
        <v>270</v>
      </c>
      <c r="D91" s="266">
        <f t="shared" si="4"/>
        <v>884</v>
      </c>
      <c r="E91" s="252">
        <f t="shared" si="6"/>
        <v>0.00944</v>
      </c>
      <c r="F91" s="257"/>
      <c r="G91" s="1"/>
      <c r="H91" s="206"/>
    </row>
    <row r="92">
      <c r="A92" s="263" t="s">
        <v>308</v>
      </c>
      <c r="B92" s="249" t="str">
        <f>IFERROR(__xludf.DUMMYFUNCTION("VLOOKUP(A92,IMPORTRANGE(""https://docs.google.com/spreadsheets/d/1oJmkDK37Qizzdaxn4KCwh1BMwdNWuHCx3AGH8BC9yu0/edit?gid=781951868#gid=781951868"",""キャラ!D:F""),3,false)"),"鴨乃橋 ロン")</f>
        <v>鴨乃橋 ロン</v>
      </c>
      <c r="C92" s="265" t="s">
        <v>270</v>
      </c>
      <c r="D92" s="266">
        <f t="shared" si="4"/>
        <v>884</v>
      </c>
      <c r="E92" s="252">
        <f t="shared" si="6"/>
        <v>0.00944</v>
      </c>
      <c r="F92" s="257"/>
      <c r="G92" s="1"/>
      <c r="H92" s="206"/>
    </row>
    <row r="93">
      <c r="A93" s="263" t="s">
        <v>309</v>
      </c>
      <c r="B93" s="249" t="str">
        <f>IFERROR(__xludf.DUMMYFUNCTION("VLOOKUP(A93,IMPORTRANGE(""https://docs.google.com/spreadsheets/d/1oJmkDK37Qizzdaxn4KCwh1BMwdNWuHCx3AGH8BC9yu0/edit?gid=781951868#gid=781951868"",""キャラ!D:F""),3,false)"),"阿波連 れいな")</f>
        <v>阿波連 れいな</v>
      </c>
      <c r="C93" s="265" t="s">
        <v>270</v>
      </c>
      <c r="D93" s="266">
        <f t="shared" si="4"/>
        <v>884</v>
      </c>
      <c r="E93" s="252">
        <f t="shared" si="6"/>
        <v>0.00944</v>
      </c>
      <c r="F93" s="257"/>
      <c r="G93" s="1"/>
      <c r="H93" s="206"/>
    </row>
    <row r="94">
      <c r="A94" s="263" t="s">
        <v>310</v>
      </c>
      <c r="B94" s="249" t="str">
        <f>IFERROR(__xludf.DUMMYFUNCTION("VLOOKUP(A94,IMPORTRANGE(""https://docs.google.com/spreadsheets/d/1oJmkDK37Qizzdaxn4KCwh1BMwdNWuHCx3AGH8BC9yu0/edit?gid=781951868#gid=781951868"",""キャラ!D:F""),3,false)"),"山田浅ェ門 佐切")</f>
        <v>山田浅ェ門 佐切</v>
      </c>
      <c r="C94" s="265" t="s">
        <v>270</v>
      </c>
      <c r="D94" s="266">
        <f t="shared" si="4"/>
        <v>884</v>
      </c>
      <c r="E94" s="252">
        <f t="shared" si="6"/>
        <v>0.00944</v>
      </c>
      <c r="F94" s="257"/>
      <c r="G94" s="7"/>
      <c r="H94" s="206"/>
    </row>
    <row r="95">
      <c r="A95" s="263" t="s">
        <v>311</v>
      </c>
      <c r="B95" s="249" t="str">
        <f>IFERROR(__xludf.DUMMYFUNCTION("VLOOKUP(A95,IMPORTRANGE(""https://docs.google.com/spreadsheets/d/1oJmkDK37Qizzdaxn4KCwh1BMwdNWuHCx3AGH8BC9yu0/edit?gid=781951868#gid=781951868"",""キャラ!D:F""),3,false)"),"冬木 美波")</f>
        <v>冬木 美波</v>
      </c>
      <c r="C95" s="265" t="s">
        <v>270</v>
      </c>
      <c r="D95" s="266">
        <f t="shared" si="4"/>
        <v>884</v>
      </c>
      <c r="E95" s="252">
        <f t="shared" si="6"/>
        <v>0.00944</v>
      </c>
      <c r="F95" s="257"/>
      <c r="G95" s="1"/>
      <c r="H95" s="206"/>
    </row>
    <row r="96">
      <c r="A96" s="263" t="s">
        <v>312</v>
      </c>
      <c r="B96" s="249" t="str">
        <f>IFERROR(__xludf.DUMMYFUNCTION("VLOOKUP(A96,IMPORTRANGE(""https://docs.google.com/spreadsheets/d/1oJmkDK37Qizzdaxn4KCwh1BMwdNWuHCx3AGH8BC9yu0/edit?gid=781951868#gid=781951868"",""キャラ!D:F""),3,false)"),"秋野 沙友理")</f>
        <v>秋野 沙友理</v>
      </c>
      <c r="C96" s="265" t="s">
        <v>270</v>
      </c>
      <c r="D96" s="266">
        <f t="shared" si="4"/>
        <v>884</v>
      </c>
      <c r="E96" s="252">
        <f t="shared" si="6"/>
        <v>0.00944</v>
      </c>
      <c r="F96" s="264"/>
      <c r="G96" s="1"/>
      <c r="H96" s="206"/>
    </row>
    <row r="97">
      <c r="A97" s="248" t="s">
        <v>313</v>
      </c>
      <c r="B97" s="249" t="str">
        <f>IFERROR(__xludf.DUMMYFUNCTION("VLOOKUP(A97,IMPORTRANGE(""https://docs.google.com/spreadsheets/d/1oJmkDK37Qizzdaxn4KCwh1BMwdNWuHCx3AGH8BC9yu0/edit?gid=781951868#gid=781951868"",""キャラ!D:F""),3,false)"),"トーチャー・トルチュール")</f>
        <v>トーチャー・トルチュール</v>
      </c>
      <c r="C97" s="268" t="s">
        <v>271</v>
      </c>
      <c r="D97" s="266">
        <f t="shared" si="4"/>
        <v>3276</v>
      </c>
      <c r="E97" s="252">
        <f t="shared" ref="E97:E106" si="7">IFERROR(rounddown($F$97/$C$66,5),"0%")</f>
        <v>0.035</v>
      </c>
      <c r="F97" s="253">
        <v>0.35</v>
      </c>
      <c r="G97" s="1"/>
      <c r="H97" s="206"/>
    </row>
    <row r="98">
      <c r="A98" s="248" t="s">
        <v>314</v>
      </c>
      <c r="B98" s="249" t="str">
        <f>IFERROR(__xludf.DUMMYFUNCTION("VLOOKUP(A98,IMPORTRANGE(""https://docs.google.com/spreadsheets/d/1oJmkDK37Qizzdaxn4KCwh1BMwdNWuHCx3AGH8BC9yu0/edit?gid=781951868#gid=781951868"",""キャラ!D:F""),3,false)"),"清峰 葉流火")</f>
        <v>清峰 葉流火</v>
      </c>
      <c r="C98" s="268" t="s">
        <v>271</v>
      </c>
      <c r="D98" s="266">
        <f t="shared" si="4"/>
        <v>3276</v>
      </c>
      <c r="E98" s="252">
        <f t="shared" si="7"/>
        <v>0.035</v>
      </c>
      <c r="F98" s="257"/>
      <c r="G98" s="1"/>
      <c r="H98" s="206"/>
    </row>
    <row r="99">
      <c r="A99" s="248" t="s">
        <v>315</v>
      </c>
      <c r="B99" s="249" t="str">
        <f>IFERROR(__xludf.DUMMYFUNCTION("VLOOKUP(A99,IMPORTRANGE(""https://docs.google.com/spreadsheets/d/1oJmkDK37Qizzdaxn4KCwh1BMwdNWuHCx3AGH8BC9yu0/edit?gid=781951868#gid=781951868"",""キャラ!D:F""),3,false)"),"要 圭")</f>
        <v>要 圭</v>
      </c>
      <c r="C99" s="268" t="s">
        <v>271</v>
      </c>
      <c r="D99" s="266">
        <f t="shared" si="4"/>
        <v>3276</v>
      </c>
      <c r="E99" s="252">
        <f t="shared" si="7"/>
        <v>0.035</v>
      </c>
      <c r="F99" s="257"/>
      <c r="G99" s="1"/>
      <c r="H99" s="206"/>
    </row>
    <row r="100">
      <c r="A100" s="248" t="s">
        <v>316</v>
      </c>
      <c r="B100" s="249" t="str">
        <f>IFERROR(__xludf.DUMMYFUNCTION("VLOOKUP(A100,IMPORTRANGE(""https://docs.google.com/spreadsheets/d/1oJmkDK37Qizzdaxn4KCwh1BMwdNWuHCx3AGH8BC9yu0/edit?gid=781951868#gid=781951868"",""キャラ!D:F""),3,false)"),"市川 レノ")</f>
        <v>市川 レノ</v>
      </c>
      <c r="C100" s="268" t="s">
        <v>271</v>
      </c>
      <c r="D100" s="266">
        <f t="shared" si="4"/>
        <v>3276</v>
      </c>
      <c r="E100" s="252">
        <f t="shared" si="7"/>
        <v>0.035</v>
      </c>
      <c r="F100" s="257"/>
      <c r="G100" s="1"/>
      <c r="H100" s="206"/>
    </row>
    <row r="101">
      <c r="A101" s="248" t="s">
        <v>317</v>
      </c>
      <c r="B101" s="249" t="str">
        <f>IFERROR(__xludf.DUMMYFUNCTION("VLOOKUP(A101,IMPORTRANGE(""https://docs.google.com/spreadsheets/d/1oJmkDK37Qizzdaxn4KCwh1BMwdNWuHCx3AGH8BC9yu0/edit?gid=781951868#gid=781951868"",""キャラ!D:F""),3,false)"),"東 日万凛")</f>
        <v>東 日万凛</v>
      </c>
      <c r="C101" s="268" t="s">
        <v>271</v>
      </c>
      <c r="D101" s="266">
        <f t="shared" si="4"/>
        <v>3276</v>
      </c>
      <c r="E101" s="252">
        <f t="shared" si="7"/>
        <v>0.035</v>
      </c>
      <c r="F101" s="257"/>
      <c r="G101" s="1"/>
      <c r="H101" s="206"/>
    </row>
    <row r="102">
      <c r="A102" s="248" t="s">
        <v>318</v>
      </c>
      <c r="B102" s="249" t="str">
        <f>IFERROR(__xludf.DUMMYFUNCTION("VLOOKUP(A102,IMPORTRANGE(""https://docs.google.com/spreadsheets/d/1oJmkDK37Qizzdaxn4KCwh1BMwdNWuHCx3AGH8BC9yu0/edit?gid=781951868#gid=781951868"",""キャラ!D:F""),3,false)"),"駿河 朱々")</f>
        <v>駿河 朱々</v>
      </c>
      <c r="C102" s="268" t="s">
        <v>271</v>
      </c>
      <c r="D102" s="266">
        <f t="shared" si="4"/>
        <v>3276</v>
      </c>
      <c r="E102" s="252">
        <f t="shared" si="7"/>
        <v>0.035</v>
      </c>
      <c r="F102" s="257"/>
      <c r="G102" s="1"/>
      <c r="H102" s="206"/>
    </row>
    <row r="103">
      <c r="A103" s="248" t="s">
        <v>319</v>
      </c>
      <c r="B103" s="249" t="str">
        <f>IFERROR(__xludf.DUMMYFUNCTION("VLOOKUP(A103,IMPORTRANGE(""https://docs.google.com/spreadsheets/d/1oJmkDK37Qizzdaxn4KCwh1BMwdNWuHCx3AGH8BC9yu0/edit?gid=781951868#gid=781951868"",""キャラ!D:F""),3,false)"),"ライドウ")</f>
        <v>ライドウ</v>
      </c>
      <c r="C103" s="268" t="s">
        <v>271</v>
      </c>
      <c r="D103" s="266">
        <f t="shared" si="4"/>
        <v>3276</v>
      </c>
      <c r="E103" s="252">
        <f t="shared" si="7"/>
        <v>0.035</v>
      </c>
      <c r="F103" s="257"/>
      <c r="G103" s="1"/>
      <c r="H103" s="206"/>
    </row>
    <row r="104">
      <c r="A104" s="248" t="s">
        <v>320</v>
      </c>
      <c r="B104" s="249" t="str">
        <f>IFERROR(__xludf.DUMMYFUNCTION("VLOOKUP(A104,IMPORTRANGE(""https://docs.google.com/spreadsheets/d/1oJmkDK37Qizzdaxn4KCwh1BMwdNWuHCx3AGH8BC9yu0/edit?gid=781951868#gid=781951868"",""キャラ!D:F""),3,false)"),"山田浅ェ門 仙汰")</f>
        <v>山田浅ェ門 仙汰</v>
      </c>
      <c r="C104" s="268" t="s">
        <v>271</v>
      </c>
      <c r="D104" s="266">
        <f t="shared" si="4"/>
        <v>3276</v>
      </c>
      <c r="E104" s="252">
        <f t="shared" si="7"/>
        <v>0.035</v>
      </c>
      <c r="F104" s="257"/>
      <c r="G104" s="1"/>
      <c r="H104" s="206"/>
    </row>
    <row r="105">
      <c r="A105" s="248" t="s">
        <v>321</v>
      </c>
      <c r="B105" s="249" t="str">
        <f>IFERROR(__xludf.DUMMYFUNCTION("VLOOKUP(A105,IMPORTRANGE(""https://docs.google.com/spreadsheets/d/1oJmkDK37Qizzdaxn4KCwh1BMwdNWuHCx3AGH8BC9yu0/edit?gid=781951868#gid=781951868"",""キャラ!D:F""),3,false)"),"越谷 仁美")</f>
        <v>越谷 仁美</v>
      </c>
      <c r="C105" s="268" t="s">
        <v>271</v>
      </c>
      <c r="D105" s="266">
        <f t="shared" si="4"/>
        <v>3276</v>
      </c>
      <c r="E105" s="252">
        <f t="shared" si="7"/>
        <v>0.035</v>
      </c>
      <c r="F105" s="257"/>
      <c r="G105" s="1"/>
      <c r="H105" s="206"/>
    </row>
    <row r="106">
      <c r="A106" s="248" t="s">
        <v>322</v>
      </c>
      <c r="B106" s="249" t="str">
        <f>IFERROR(__xludf.DUMMYFUNCTION("VLOOKUP(A106,IMPORTRANGE(""https://docs.google.com/spreadsheets/d/1oJmkDK37Qizzdaxn4KCwh1BMwdNWuHCx3AGH8BC9yu0/edit?gid=781951868#gid=781951868"",""キャラ!D:F""),3,false)"),"小舟 澪")</f>
        <v>小舟 澪</v>
      </c>
      <c r="C106" s="268" t="s">
        <v>271</v>
      </c>
      <c r="D106" s="266">
        <f t="shared" si="4"/>
        <v>3276</v>
      </c>
      <c r="E106" s="252">
        <f t="shared" si="7"/>
        <v>0.035</v>
      </c>
      <c r="F106" s="264"/>
      <c r="G106" s="1"/>
      <c r="H106" s="206"/>
    </row>
    <row r="107">
      <c r="A107" s="248" t="s">
        <v>323</v>
      </c>
      <c r="B107" s="249" t="str">
        <f>IFERROR(__xludf.DUMMYFUNCTION("VLOOKUP(A107,IMPORTRANGE(""https://docs.google.com/spreadsheets/d/1oJmkDK37Qizzdaxn4KCwh1BMwdNWuHCx3AGH8BC9yu0/edit?gid=781951868#gid=781951868"",""キャラ!D:F""),3,false)"),"佐々木")</f>
        <v>佐々木</v>
      </c>
      <c r="C107" s="269" t="s">
        <v>272</v>
      </c>
      <c r="D107" s="266">
        <f t="shared" si="4"/>
        <v>5408</v>
      </c>
      <c r="E107" s="252">
        <f t="shared" ref="E107:E115" si="8">IFERROR(rounddown($F$107/$C$67,5),"0%")</f>
        <v>0.05777</v>
      </c>
      <c r="F107" s="253">
        <v>0.52</v>
      </c>
      <c r="G107" s="1"/>
      <c r="H107" s="206"/>
    </row>
    <row r="108">
      <c r="A108" s="248" t="s">
        <v>324</v>
      </c>
      <c r="B108" s="249" t="str">
        <f>IFERROR(__xludf.DUMMYFUNCTION("VLOOKUP(A108,IMPORTRANGE(""https://docs.google.com/spreadsheets/d/1oJmkDK37Qizzdaxn4KCwh1BMwdNWuHCx3AGH8BC9yu0/edit?gid=781951868#gid=781951868"",""キャラ!D:F""),3,false)"),"文蔵")</f>
        <v>文蔵</v>
      </c>
      <c r="C108" s="269" t="s">
        <v>272</v>
      </c>
      <c r="D108" s="266">
        <f t="shared" si="4"/>
        <v>5408</v>
      </c>
      <c r="E108" s="252">
        <f t="shared" si="8"/>
        <v>0.05777</v>
      </c>
      <c r="F108" s="257"/>
      <c r="G108" s="1"/>
      <c r="H108" s="206"/>
    </row>
    <row r="109">
      <c r="A109" s="248" t="s">
        <v>325</v>
      </c>
      <c r="B109" s="249" t="str">
        <f>IFERROR(__xludf.DUMMYFUNCTION("VLOOKUP(A109,IMPORTRANGE(""https://docs.google.com/spreadsheets/d/1oJmkDK37Qizzdaxn4KCwh1BMwdNWuHCx3AGH8BC9yu0/edit?gid=781951868#gid=781951868"",""キャラ!D:F""),3,false)"),"リコピン")</f>
        <v>リコピン</v>
      </c>
      <c r="C109" s="269" t="s">
        <v>272</v>
      </c>
      <c r="D109" s="266">
        <f t="shared" si="4"/>
        <v>5408</v>
      </c>
      <c r="E109" s="252">
        <f t="shared" si="8"/>
        <v>0.05777</v>
      </c>
      <c r="F109" s="257"/>
      <c r="G109" s="1"/>
      <c r="H109" s="206"/>
    </row>
    <row r="110">
      <c r="A110" s="248" t="s">
        <v>326</v>
      </c>
      <c r="B110" s="249" t="str">
        <f>IFERROR(__xludf.DUMMYFUNCTION("VLOOKUP(A110,IMPORTRANGE(""https://docs.google.com/spreadsheets/d/1oJmkDK37Qizzdaxn4KCwh1BMwdNWuHCx3AGH8BC9yu0/edit?gid=781951868#gid=781951868"",""キャラ!D:F""),3,false)"),"一色 都々丸")</f>
        <v>一色 都々丸</v>
      </c>
      <c r="C110" s="269" t="s">
        <v>272</v>
      </c>
      <c r="D110" s="266">
        <f t="shared" si="4"/>
        <v>5408</v>
      </c>
      <c r="E110" s="252">
        <f t="shared" si="8"/>
        <v>0.05777</v>
      </c>
      <c r="F110" s="257"/>
      <c r="G110" s="1"/>
      <c r="H110" s="206"/>
    </row>
    <row r="111">
      <c r="A111" s="248" t="s">
        <v>327</v>
      </c>
      <c r="B111" s="249" t="str">
        <f>IFERROR(__xludf.DUMMYFUNCTION("VLOOKUP(A111,IMPORTRANGE(""https://docs.google.com/spreadsheets/d/1oJmkDK37Qizzdaxn4KCwh1BMwdNWuHCx3AGH8BC9yu0/edit?gid=781951868#gid=781951868"",""キャラ!D:F""),3,false)"),"オカルン")</f>
        <v>オカルン</v>
      </c>
      <c r="C111" s="269" t="s">
        <v>272</v>
      </c>
      <c r="D111" s="266">
        <f t="shared" si="4"/>
        <v>5408</v>
      </c>
      <c r="E111" s="252">
        <f t="shared" si="8"/>
        <v>0.05777</v>
      </c>
      <c r="F111" s="257"/>
      <c r="G111" s="1"/>
      <c r="H111" s="206"/>
    </row>
    <row r="112">
      <c r="A112" s="248" t="s">
        <v>328</v>
      </c>
      <c r="B112" s="249" t="str">
        <f>IFERROR(__xludf.DUMMYFUNCTION("VLOOKUP(A112,IMPORTRANGE(""https://docs.google.com/spreadsheets/d/1oJmkDK37Qizzdaxn4KCwh1BMwdNWuHCx3AGH8BC9yu0/edit?gid=781951868#gid=781951868"",""キャラ!D:F""),3,false)"),"デンジ")</f>
        <v>デンジ</v>
      </c>
      <c r="C112" s="269" t="s">
        <v>272</v>
      </c>
      <c r="D112" s="266">
        <f t="shared" si="4"/>
        <v>5408</v>
      </c>
      <c r="E112" s="252">
        <f t="shared" si="8"/>
        <v>0.05777</v>
      </c>
      <c r="F112" s="257"/>
      <c r="G112" s="1"/>
      <c r="H112" s="206"/>
    </row>
    <row r="113">
      <c r="A113" s="248" t="s">
        <v>329</v>
      </c>
      <c r="B113" s="249" t="str">
        <f>IFERROR(__xludf.DUMMYFUNCTION("VLOOKUP(A113,IMPORTRANGE(""https://docs.google.com/spreadsheets/d/1oJmkDK37Qizzdaxn4KCwh1BMwdNWuHCx3AGH8BC9yu0/edit?gid=781951868#gid=781951868"",""キャラ!D:F""),3,false)"),"日比野 カフカ")</f>
        <v>日比野 カフカ</v>
      </c>
      <c r="C113" s="269" t="s">
        <v>272</v>
      </c>
      <c r="D113" s="266">
        <f t="shared" si="4"/>
        <v>5408</v>
      </c>
      <c r="E113" s="252">
        <f t="shared" si="8"/>
        <v>0.05777</v>
      </c>
      <c r="F113" s="257"/>
      <c r="G113" s="1"/>
      <c r="H113" s="1"/>
    </row>
    <row r="114">
      <c r="A114" s="248" t="s">
        <v>330</v>
      </c>
      <c r="B114" s="249" t="str">
        <f>IFERROR(__xludf.DUMMYFUNCTION("VLOOKUP(A114,IMPORTRANGE(""https://docs.google.com/spreadsheets/d/1oJmkDK37Qizzdaxn4KCwh1BMwdNWuHCx3AGH8BC9yu0/edit?gid=781951868#gid=781951868"",""キャラ!D:F""),3,false)"),"和倉 優希")</f>
        <v>和倉 優希</v>
      </c>
      <c r="C114" s="269" t="s">
        <v>272</v>
      </c>
      <c r="D114" s="266">
        <f t="shared" si="4"/>
        <v>5408</v>
      </c>
      <c r="E114" s="252">
        <f t="shared" si="8"/>
        <v>0.05777</v>
      </c>
      <c r="F114" s="257"/>
      <c r="G114" s="1"/>
      <c r="H114" s="1"/>
    </row>
    <row r="115">
      <c r="A115" s="248" t="s">
        <v>331</v>
      </c>
      <c r="B115" s="249" t="str">
        <f>IFERROR(__xludf.DUMMYFUNCTION("VLOOKUP(A115,IMPORTRANGE(""https://docs.google.com/spreadsheets/d/1oJmkDK37Qizzdaxn4KCwh1BMwdNWuHCx3AGH8BC9yu0/edit?gid=781951868#gid=781951868"",""キャラ!D:F""),3,false)"),"網代 慎平")</f>
        <v>網代 慎平</v>
      </c>
      <c r="C115" s="269" t="s">
        <v>272</v>
      </c>
      <c r="D115" s="266">
        <f t="shared" si="4"/>
        <v>5408</v>
      </c>
      <c r="E115" s="252">
        <f t="shared" si="8"/>
        <v>0.05777</v>
      </c>
      <c r="F115" s="264"/>
      <c r="G115" s="1"/>
      <c r="H115" s="1"/>
    </row>
    <row r="116">
      <c r="A116" s="68"/>
      <c r="B116" s="68"/>
      <c r="C116" s="68"/>
      <c r="D116" s="1"/>
      <c r="E116" s="270">
        <f t="shared" ref="E116:F116" si="9">sum(E72:E115)</f>
        <v>0.99984</v>
      </c>
      <c r="F116" s="271">
        <f t="shared" si="9"/>
        <v>1</v>
      </c>
      <c r="G116" s="1"/>
      <c r="H116" s="1"/>
    </row>
    <row r="117" ht="24.75" customHeight="1">
      <c r="A117" s="352" t="s">
        <v>448</v>
      </c>
      <c r="B117" s="353"/>
      <c r="C117" s="353"/>
      <c r="D117" s="354"/>
      <c r="E117" s="355"/>
      <c r="F117" s="356"/>
      <c r="G117" s="354"/>
      <c r="H117" s="357"/>
      <c r="I117" s="358"/>
    </row>
    <row r="118">
      <c r="A118" s="227" t="s">
        <v>390</v>
      </c>
      <c r="B118" s="203"/>
      <c r="C118" s="203"/>
      <c r="D118" s="204"/>
      <c r="E118" s="274"/>
      <c r="F118" s="275"/>
      <c r="G118" s="204"/>
      <c r="H118" s="205"/>
    </row>
    <row r="119">
      <c r="A119" s="68"/>
      <c r="B119" s="68"/>
      <c r="C119" s="68"/>
      <c r="D119" s="1"/>
      <c r="E119" s="130"/>
      <c r="F119" s="272"/>
      <c r="G119" s="1"/>
      <c r="H119" s="206"/>
    </row>
    <row r="120">
      <c r="A120" s="68"/>
      <c r="B120" s="276" t="s">
        <v>264</v>
      </c>
      <c r="C120" s="276" t="s">
        <v>265</v>
      </c>
      <c r="D120" s="229" t="s">
        <v>266</v>
      </c>
      <c r="E120" s="277" t="s">
        <v>267</v>
      </c>
      <c r="F120" s="272"/>
      <c r="G120" s="1"/>
      <c r="H120" s="206"/>
    </row>
    <row r="121">
      <c r="A121" s="68" t="s">
        <v>268</v>
      </c>
      <c r="B121" s="321">
        <v>0.015</v>
      </c>
      <c r="C121" s="278">
        <f t="shared" ref="C121:C125" si="10">countif($C$131:$C$165,A121)</f>
        <v>2</v>
      </c>
      <c r="D121" s="232">
        <f t="shared" ref="D121:D125" si="11">$D$127*B121</f>
        <v>3510</v>
      </c>
      <c r="E121" s="233">
        <f t="shared" ref="E121:E125" si="12">IFERROR(D121/C121,"0")</f>
        <v>1755</v>
      </c>
      <c r="F121" s="272"/>
      <c r="G121" s="1"/>
      <c r="H121" s="206"/>
    </row>
    <row r="122">
      <c r="A122" s="68" t="s">
        <v>269</v>
      </c>
      <c r="B122" s="322">
        <v>0.015</v>
      </c>
      <c r="C122" s="278">
        <f t="shared" si="10"/>
        <v>13</v>
      </c>
      <c r="D122" s="232">
        <f t="shared" si="11"/>
        <v>3510</v>
      </c>
      <c r="E122" s="233">
        <f t="shared" si="12"/>
        <v>270</v>
      </c>
      <c r="F122" s="272"/>
      <c r="G122" s="1"/>
      <c r="H122" s="206"/>
    </row>
    <row r="123">
      <c r="A123" s="68" t="s">
        <v>388</v>
      </c>
      <c r="B123" s="321">
        <v>0.015</v>
      </c>
      <c r="C123" s="278">
        <f t="shared" si="10"/>
        <v>1</v>
      </c>
      <c r="D123" s="232">
        <f t="shared" si="11"/>
        <v>3510</v>
      </c>
      <c r="E123" s="233">
        <f t="shared" si="12"/>
        <v>3510</v>
      </c>
      <c r="F123" s="272"/>
      <c r="G123" s="1"/>
      <c r="H123" s="206"/>
    </row>
    <row r="124">
      <c r="A124" s="68" t="s">
        <v>270</v>
      </c>
      <c r="B124" s="322">
        <v>0.085</v>
      </c>
      <c r="C124" s="278">
        <f t="shared" si="10"/>
        <v>9</v>
      </c>
      <c r="D124" s="232">
        <f t="shared" si="11"/>
        <v>19890</v>
      </c>
      <c r="E124" s="233">
        <f t="shared" si="12"/>
        <v>2210</v>
      </c>
      <c r="F124" s="272"/>
      <c r="G124" s="1"/>
      <c r="H124" s="206"/>
    </row>
    <row r="125">
      <c r="A125" s="68" t="s">
        <v>271</v>
      </c>
      <c r="B125" s="234">
        <v>0.87</v>
      </c>
      <c r="C125" s="278">
        <f t="shared" si="10"/>
        <v>10</v>
      </c>
      <c r="D125" s="232">
        <f t="shared" si="11"/>
        <v>203580</v>
      </c>
      <c r="E125" s="233">
        <f t="shared" si="12"/>
        <v>20358</v>
      </c>
      <c r="F125" s="272"/>
      <c r="G125" s="1"/>
      <c r="H125" s="206"/>
    </row>
    <row r="126">
      <c r="A126" s="280"/>
      <c r="B126" s="281"/>
      <c r="C126" s="68"/>
      <c r="D126" s="282"/>
      <c r="E126" s="241"/>
      <c r="F126" s="272"/>
      <c r="G126" s="1"/>
      <c r="H126" s="206"/>
    </row>
    <row r="127">
      <c r="A127" s="278" t="s">
        <v>93</v>
      </c>
      <c r="B127" s="238">
        <f t="shared" ref="B127:C127" si="13">sum(B121:B126)</f>
        <v>1</v>
      </c>
      <c r="C127" s="283">
        <f t="shared" si="13"/>
        <v>35</v>
      </c>
      <c r="D127" s="323">
        <v>234000.0</v>
      </c>
      <c r="E127" s="130"/>
      <c r="F127" s="272"/>
      <c r="G127" s="1"/>
      <c r="H127" s="206"/>
    </row>
    <row r="128">
      <c r="A128" s="68"/>
      <c r="B128" s="68"/>
      <c r="C128" s="278">
        <f>COUNTA(C131:C165)</f>
        <v>35</v>
      </c>
      <c r="D128" s="1"/>
      <c r="E128" s="130"/>
      <c r="F128" s="272"/>
      <c r="G128" s="1"/>
      <c r="H128" s="206"/>
    </row>
    <row r="129">
      <c r="A129" s="68"/>
      <c r="B129" s="68"/>
      <c r="C129" s="68"/>
      <c r="D129" s="1"/>
      <c r="E129" s="130"/>
      <c r="F129" s="272"/>
      <c r="G129" s="1"/>
      <c r="H129" s="206"/>
    </row>
    <row r="130">
      <c r="A130" s="243" t="s">
        <v>273</v>
      </c>
      <c r="B130" s="243" t="s">
        <v>274</v>
      </c>
      <c r="C130" s="243" t="s">
        <v>364</v>
      </c>
      <c r="D130" s="329" t="s">
        <v>276</v>
      </c>
      <c r="E130" s="247" t="s">
        <v>277</v>
      </c>
      <c r="F130" s="316" t="s">
        <v>278</v>
      </c>
      <c r="G130" s="1"/>
      <c r="H130" s="206"/>
    </row>
    <row r="131">
      <c r="A131" s="248" t="s">
        <v>279</v>
      </c>
      <c r="B131" s="249" t="str">
        <f>IFERROR(__xludf.DUMMYFUNCTION("VLOOKUP(A131,IMPORTRANGE(""https://docs.google.com/spreadsheets/d/1oJmkDK37Qizzdaxn4KCwh1BMwdNWuHCx3AGH8BC9yu0/edit?gid=781951868#gid=781951868"",""キャラ!D:F""),3,false)"),"第三部隊隊長 亜白 ミナ")</f>
        <v>第三部隊隊長 亜白 ミナ</v>
      </c>
      <c r="C131" s="250" t="s">
        <v>268</v>
      </c>
      <c r="D131" s="251">
        <f t="shared" ref="D131:D165" si="14">vlookup(C131,$A$121:$D$126,4,false)/vlookup(C131,$A$121:$D$126,3,false)</f>
        <v>1755</v>
      </c>
      <c r="E131" s="252">
        <f>IFERROR(rounddown(F131/$C$62,5),"0%")</f>
        <v>0.0075</v>
      </c>
      <c r="F131" s="330">
        <v>0.015</v>
      </c>
      <c r="G131" s="1" t="s">
        <v>389</v>
      </c>
      <c r="H131" s="206"/>
    </row>
    <row r="132">
      <c r="A132" s="248" t="s">
        <v>280</v>
      </c>
      <c r="B132" s="249" t="str">
        <f>IFERROR(__xludf.DUMMYFUNCTION("VLOOKUP(A132,IMPORTRANGE(""https://docs.google.com/spreadsheets/d/1oJmkDK37Qizzdaxn4KCwh1BMwdNWuHCx3AGH8BC9yu0/edit?gid=781951868#gid=781951868"",""キャラ!D:F""),3,false)"),"姉を想う盲愛 ユーリ・ブライア")</f>
        <v>姉を想う盲愛 ユーリ・ブライア</v>
      </c>
      <c r="C132" s="250" t="s">
        <v>268</v>
      </c>
      <c r="D132" s="251">
        <f t="shared" si="14"/>
        <v>1755</v>
      </c>
      <c r="E132" s="252">
        <f>IFERROR(rounddown(F131/$C$62,5),"0%")</f>
        <v>0.0075</v>
      </c>
      <c r="F132" s="257"/>
      <c r="G132" s="1"/>
      <c r="H132" s="206"/>
    </row>
    <row r="133">
      <c r="A133" s="248" t="s">
        <v>284</v>
      </c>
      <c r="B133" s="249" t="str">
        <f>IFERROR(__xludf.DUMMYFUNCTION("VLOOKUP(A133,IMPORTRANGE(""https://docs.google.com/spreadsheets/d/1oJmkDK37Qizzdaxn4KCwh1BMwdNWuHCx3AGH8BC9yu0/edit?gid=781951868#gid=781951868"",""キャラ!D:F""),3,false)"),"&lt;黄昏&gt; ロイド")</f>
        <v>&lt;黄昏&gt; ロイド</v>
      </c>
      <c r="C133" s="255" t="s">
        <v>269</v>
      </c>
      <c r="D133" s="251">
        <f t="shared" si="14"/>
        <v>270</v>
      </c>
      <c r="E133" s="252">
        <f t="shared" ref="E133:E145" si="15">IFERROR(rounddown($F$74/$C$63,5),"0%")</f>
        <v>0.00115</v>
      </c>
      <c r="F133" s="330">
        <v>0.015</v>
      </c>
      <c r="G133" s="1"/>
      <c r="H133" s="206"/>
    </row>
    <row r="134">
      <c r="A134" s="248" t="s">
        <v>285</v>
      </c>
      <c r="B134" s="249" t="str">
        <f>IFERROR(__xludf.DUMMYFUNCTION("VLOOKUP(A134,IMPORTRANGE(""https://docs.google.com/spreadsheets/d/1oJmkDK37Qizzdaxn4KCwh1BMwdNWuHCx3AGH8BC9yu0/edit?gid=781951868#gid=781951868"",""キャラ!D:F""),3,false)"),"&lt;いばら姫&gt; ヨル")</f>
        <v>&lt;いばら姫&gt; ヨル</v>
      </c>
      <c r="C134" s="255" t="s">
        <v>269</v>
      </c>
      <c r="D134" s="251">
        <f t="shared" si="14"/>
        <v>270</v>
      </c>
      <c r="E134" s="252">
        <f t="shared" si="15"/>
        <v>0.00115</v>
      </c>
      <c r="F134" s="257"/>
      <c r="G134" s="1"/>
      <c r="H134" s="206"/>
    </row>
    <row r="135">
      <c r="A135" s="248" t="s">
        <v>286</v>
      </c>
      <c r="B135" s="249" t="str">
        <f>IFERROR(__xludf.DUMMYFUNCTION("VLOOKUP(A135,IMPORTRANGE(""https://docs.google.com/spreadsheets/d/1oJmkDK37Qizzdaxn4KCwh1BMwdNWuHCx3AGH8BC9yu0/edit?gid=781951868#gid=781951868"",""キャラ!D:F""),3,false)"),"わくわく アーニャ")</f>
        <v>わくわく アーニャ</v>
      </c>
      <c r="C135" s="255" t="s">
        <v>269</v>
      </c>
      <c r="D135" s="251">
        <f t="shared" si="14"/>
        <v>270</v>
      </c>
      <c r="E135" s="252">
        <f t="shared" si="15"/>
        <v>0.00115</v>
      </c>
      <c r="F135" s="257"/>
      <c r="G135" s="1"/>
      <c r="H135" s="206"/>
    </row>
    <row r="136">
      <c r="A136" s="248" t="s">
        <v>287</v>
      </c>
      <c r="B136" s="249" t="str">
        <f>IFERROR(__xludf.DUMMYFUNCTION("VLOOKUP(A136,IMPORTRANGE(""https://docs.google.com/spreadsheets/d/1oJmkDK37Qizzdaxn4KCwh1BMwdNWuHCx3AGH8BC9yu0/edit?gid=781951868#gid=781951868"",""キャラ!D:F""),3,false)"),"ターボババアの霊力 オカルン")</f>
        <v>ターボババアの霊力 オカルン</v>
      </c>
      <c r="C136" s="255" t="s">
        <v>269</v>
      </c>
      <c r="D136" s="251">
        <f t="shared" si="14"/>
        <v>270</v>
      </c>
      <c r="E136" s="252">
        <f t="shared" si="15"/>
        <v>0.00115</v>
      </c>
      <c r="F136" s="257"/>
      <c r="G136" s="1"/>
      <c r="H136" s="206"/>
    </row>
    <row r="137">
      <c r="A137" s="248" t="s">
        <v>288</v>
      </c>
      <c r="B137" s="249" t="str">
        <f>IFERROR(__xludf.DUMMYFUNCTION("VLOOKUP(A137,IMPORTRANGE(""https://docs.google.com/spreadsheets/d/1oJmkDK37Qizzdaxn4KCwh1BMwdNWuHCx3AGH8BC9yu0/edit?gid=781951868#gid=781951868"",""キャラ!D:F""),3,false)"),"囚われの王女 姫様")</f>
        <v>囚われの王女 姫様</v>
      </c>
      <c r="C137" s="255" t="s">
        <v>269</v>
      </c>
      <c r="D137" s="251">
        <f t="shared" si="14"/>
        <v>270</v>
      </c>
      <c r="E137" s="252">
        <f t="shared" si="15"/>
        <v>0.00115</v>
      </c>
      <c r="F137" s="257"/>
      <c r="G137" s="1"/>
      <c r="H137" s="206"/>
    </row>
    <row r="138">
      <c r="A138" s="248" t="s">
        <v>289</v>
      </c>
      <c r="B138" s="249" t="str">
        <f>IFERROR(__xludf.DUMMYFUNCTION("VLOOKUP(A138,IMPORTRANGE(""https://docs.google.com/spreadsheets/d/1oJmkDK37Qizzdaxn4KCwh1BMwdNWuHCx3AGH8BC9yu0/edit?gid=781951868#gid=781951868"",""キャラ!D:F""),3,false)"),"悪魔が恐れる悪魔 チェンソーマン")</f>
        <v>悪魔が恐れる悪魔 チェンソーマン</v>
      </c>
      <c r="C138" s="255" t="s">
        <v>269</v>
      </c>
      <c r="D138" s="251">
        <f t="shared" si="14"/>
        <v>270</v>
      </c>
      <c r="E138" s="252">
        <f t="shared" si="15"/>
        <v>0.00115</v>
      </c>
      <c r="F138" s="257"/>
      <c r="G138" s="1"/>
      <c r="H138" s="206"/>
    </row>
    <row r="139">
      <c r="A139" s="248" t="s">
        <v>290</v>
      </c>
      <c r="B139" s="249" t="str">
        <f>IFERROR(__xludf.DUMMYFUNCTION("VLOOKUP(A139,IMPORTRANGE(""https://docs.google.com/spreadsheets/d/1oJmkDK37Qizzdaxn4KCwh1BMwdNWuHCx3AGH8BC9yu0/edit?gid=781951868#gid=781951868"",""キャラ!D:F""),3,false)"),"隠された英雄の姿 怪獣８号")</f>
        <v>隠された英雄の姿 怪獣８号</v>
      </c>
      <c r="C139" s="255" t="s">
        <v>269</v>
      </c>
      <c r="D139" s="251">
        <f t="shared" si="14"/>
        <v>270</v>
      </c>
      <c r="E139" s="252">
        <f t="shared" si="15"/>
        <v>0.00115</v>
      </c>
      <c r="F139" s="257"/>
      <c r="G139" s="1"/>
      <c r="H139" s="206"/>
    </row>
    <row r="140">
      <c r="A140" s="248" t="s">
        <v>291</v>
      </c>
      <c r="B140" s="249" t="str">
        <f>IFERROR(__xludf.DUMMYFUNCTION("VLOOKUP(A140,IMPORTRANGE(""https://docs.google.com/spreadsheets/d/1oJmkDK37Qizzdaxn4KCwh1BMwdNWuHCx3AGH8BC9yu0/edit?gid=781951868#gid=781951868"",""キャラ!D:F""),3,false)"),"リリエルに捧ぐ愛 天乃 リリサ")</f>
        <v>リリエルに捧ぐ愛 天乃 リリサ</v>
      </c>
      <c r="C140" s="255" t="s">
        <v>269</v>
      </c>
      <c r="D140" s="251">
        <f t="shared" si="14"/>
        <v>270</v>
      </c>
      <c r="E140" s="252">
        <f t="shared" si="15"/>
        <v>0.00115</v>
      </c>
      <c r="F140" s="257"/>
      <c r="G140" s="1"/>
      <c r="H140" s="206"/>
    </row>
    <row r="141">
      <c r="A141" s="248" t="s">
        <v>292</v>
      </c>
      <c r="B141" s="249" t="str">
        <f>IFERROR(__xludf.DUMMYFUNCTION("VLOOKUP(A141,IMPORTRANGE(""https://docs.google.com/spreadsheets/d/1oJmkDK37Qizzdaxn4KCwh1BMwdNWuHCx3AGH8BC9yu0/edit?gid=781951868#gid=781951868"",""キャラ!D:F""),3,false)"),"コスプレに託す乙女心 橘 美花莉")</f>
        <v>コスプレに託す乙女心 橘 美花莉</v>
      </c>
      <c r="C141" s="255" t="s">
        <v>269</v>
      </c>
      <c r="D141" s="251">
        <f t="shared" si="14"/>
        <v>270</v>
      </c>
      <c r="E141" s="252">
        <f t="shared" si="15"/>
        <v>0.00115</v>
      </c>
      <c r="F141" s="257"/>
      <c r="G141" s="1"/>
      <c r="H141" s="206"/>
    </row>
    <row r="142">
      <c r="A142" s="248" t="s">
        <v>293</v>
      </c>
      <c r="B142" s="249" t="str">
        <f>IFERROR(__xludf.DUMMYFUNCTION("VLOOKUP(A142,IMPORTRANGE(""https://docs.google.com/spreadsheets/d/1oJmkDK37Qizzdaxn4KCwh1BMwdNWuHCx3AGH8BC9yu0/edit?gid=781951868#gid=781951868"",""キャラ!D:F""),3,false)"),"誇り高き魔都の剣姫 羽前 京香")</f>
        <v>誇り高き魔都の剣姫 羽前 京香</v>
      </c>
      <c r="C142" s="255" t="s">
        <v>269</v>
      </c>
      <c r="D142" s="251">
        <f t="shared" si="14"/>
        <v>270</v>
      </c>
      <c r="E142" s="252">
        <f t="shared" si="15"/>
        <v>0.00115</v>
      </c>
      <c r="F142" s="257"/>
      <c r="G142" s="1"/>
      <c r="H142" s="206"/>
    </row>
    <row r="143">
      <c r="A143" s="248" t="s">
        <v>294</v>
      </c>
      <c r="B143" s="249" t="str">
        <f>IFERROR(__xludf.DUMMYFUNCTION("VLOOKUP(A143,IMPORTRANGE(""https://docs.google.com/spreadsheets/d/1oJmkDK37Qizzdaxn4KCwh1BMwdNWuHCx3AGH8BC9yu0/edit?gid=781951868#gid=781951868"",""キャラ!D:F""),3,false)"),"がらんの画眉丸")</f>
        <v>がらんの画眉丸</v>
      </c>
      <c r="C143" s="255" t="s">
        <v>269</v>
      </c>
      <c r="D143" s="251">
        <f t="shared" si="14"/>
        <v>270</v>
      </c>
      <c r="E143" s="252">
        <f t="shared" si="15"/>
        <v>0.00115</v>
      </c>
      <c r="F143" s="257"/>
      <c r="G143" s="1"/>
      <c r="H143" s="206"/>
    </row>
    <row r="144">
      <c r="A144" s="248" t="s">
        <v>295</v>
      </c>
      <c r="B144" s="249" t="str">
        <f>IFERROR(__xludf.DUMMYFUNCTION("VLOOKUP(A144,IMPORTRANGE(""https://docs.google.com/spreadsheets/d/1oJmkDK37Qizzdaxn4KCwh1BMwdNWuHCx3AGH8BC9yu0/edit?gid=781951868#gid=781951868"",""キャラ!D:F""),3,false)"),"新人魔法少女 桜木 カナ")</f>
        <v>新人魔法少女 桜木 カナ</v>
      </c>
      <c r="C144" s="255" t="s">
        <v>269</v>
      </c>
      <c r="D144" s="251">
        <f t="shared" si="14"/>
        <v>270</v>
      </c>
      <c r="E144" s="252">
        <f t="shared" si="15"/>
        <v>0.00115</v>
      </c>
      <c r="F144" s="257"/>
      <c r="G144" s="1"/>
      <c r="H144" s="206"/>
    </row>
    <row r="145">
      <c r="A145" s="248" t="s">
        <v>296</v>
      </c>
      <c r="B145" s="249" t="str">
        <f>IFERROR(__xludf.DUMMYFUNCTION("VLOOKUP(A145,IMPORTRANGE(""https://docs.google.com/spreadsheets/d/1oJmkDK37Qizzdaxn4KCwh1BMwdNWuHCx3AGH8BC9yu0/edit?gid=781951868#gid=781951868"",""キャラ!D:F""),3,false)"),"影のウシオ 小舟 潮")</f>
        <v>影のウシオ 小舟 潮</v>
      </c>
      <c r="C145" s="255" t="s">
        <v>269</v>
      </c>
      <c r="D145" s="251">
        <f t="shared" si="14"/>
        <v>270</v>
      </c>
      <c r="E145" s="252">
        <f t="shared" si="15"/>
        <v>0.00115</v>
      </c>
      <c r="F145" s="264"/>
      <c r="G145" s="1"/>
      <c r="H145" s="206"/>
    </row>
    <row r="146">
      <c r="A146" s="248" t="s">
        <v>297</v>
      </c>
      <c r="B146" s="249" t="str">
        <f>IFERROR(__xludf.DUMMYFUNCTION("VLOOKUP(A146,IMPORTRANGE(""https://docs.google.com/spreadsheets/d/1oJmkDK37Qizzdaxn4KCwh1BMwdNWuHCx3AGH8BC9yu0/edit?gid=781951868#gid=781951868"",""キャラ!D:F""),3,false)"),"保科 宗四郎")</f>
        <v>保科 宗四郎</v>
      </c>
      <c r="C146" s="328" t="s">
        <v>388</v>
      </c>
      <c r="D146" s="251">
        <f t="shared" si="14"/>
        <v>3510</v>
      </c>
      <c r="E146" s="252">
        <f>IFERROR(rounddown($F$87/$C$64,5),"0%")</f>
        <v>0.015</v>
      </c>
      <c r="F146" s="285">
        <v>0.015</v>
      </c>
      <c r="G146" s="1"/>
      <c r="H146" s="206"/>
    </row>
    <row r="147">
      <c r="A147" s="263" t="s">
        <v>304</v>
      </c>
      <c r="B147" s="249" t="str">
        <f>IFERROR(__xludf.DUMMYFUNCTION("VLOOKUP(A147,IMPORTRANGE(""https://docs.google.com/spreadsheets/d/1oJmkDK37Qizzdaxn4KCwh1BMwdNWuHCx3AGH8BC9yu0/edit?gid=781951868#gid=781951868"",""キャラ!D:F""),3,false)"),"モモ")</f>
        <v>モモ</v>
      </c>
      <c r="C147" s="265" t="s">
        <v>270</v>
      </c>
      <c r="D147" s="251">
        <f t="shared" si="14"/>
        <v>2210</v>
      </c>
      <c r="E147" s="252">
        <f t="shared" ref="E147:E155" si="16">IFERROR(rounddown($F$147/$C$124,5),"0%")</f>
        <v>0.00944</v>
      </c>
      <c r="F147" s="285">
        <v>0.085</v>
      </c>
      <c r="G147" s="1"/>
      <c r="H147" s="206"/>
    </row>
    <row r="148">
      <c r="A148" s="263" t="s">
        <v>305</v>
      </c>
      <c r="B148" s="249" t="str">
        <f>IFERROR(__xludf.DUMMYFUNCTION("VLOOKUP(A148,IMPORTRANGE(""https://docs.google.com/spreadsheets/d/1oJmkDK37Qizzdaxn4KCwh1BMwdNWuHCx3AGH8BC9yu0/edit?gid=781951868#gid=781951868"",""キャラ!D:F""),3,false)"),"早川 アキ")</f>
        <v>早川 アキ</v>
      </c>
      <c r="C148" s="265" t="s">
        <v>270</v>
      </c>
      <c r="D148" s="251">
        <f t="shared" si="14"/>
        <v>2210</v>
      </c>
      <c r="E148" s="252">
        <f t="shared" si="16"/>
        <v>0.00944</v>
      </c>
      <c r="F148" s="257"/>
      <c r="G148" s="1"/>
      <c r="H148" s="206"/>
    </row>
    <row r="149">
      <c r="A149" s="263" t="s">
        <v>306</v>
      </c>
      <c r="B149" s="249" t="str">
        <f>IFERROR(__xludf.DUMMYFUNCTION("VLOOKUP(A149,IMPORTRANGE(""https://docs.google.com/spreadsheets/d/1oJmkDK37Qizzdaxn4KCwh1BMwdNWuHCx3AGH8BC9yu0/edit?gid=781951868#gid=781951868"",""キャラ!D:F""),3,false)"),"パワー")</f>
        <v>パワー</v>
      </c>
      <c r="C149" s="265" t="s">
        <v>270</v>
      </c>
      <c r="D149" s="251">
        <f t="shared" si="14"/>
        <v>2210</v>
      </c>
      <c r="E149" s="252">
        <f t="shared" si="16"/>
        <v>0.00944</v>
      </c>
      <c r="F149" s="257"/>
      <c r="G149" s="1"/>
      <c r="H149" s="206"/>
    </row>
    <row r="150">
      <c r="A150" s="263" t="s">
        <v>307</v>
      </c>
      <c r="B150" s="249" t="str">
        <f>IFERROR(__xludf.DUMMYFUNCTION("VLOOKUP(A150,IMPORTRANGE(""https://docs.google.com/spreadsheets/d/1oJmkDK37Qizzdaxn4KCwh1BMwdNWuHCx3AGH8BC9yu0/edit?gid=781951868#gid=781951868"",""キャラ!D:F""),3,false)"),"四ノ宮 キコル")</f>
        <v>四ノ宮 キコル</v>
      </c>
      <c r="C150" s="265" t="s">
        <v>270</v>
      </c>
      <c r="D150" s="251">
        <f t="shared" si="14"/>
        <v>2210</v>
      </c>
      <c r="E150" s="252">
        <f t="shared" si="16"/>
        <v>0.00944</v>
      </c>
      <c r="F150" s="257"/>
      <c r="G150" s="1"/>
      <c r="H150" s="206"/>
    </row>
    <row r="151">
      <c r="A151" s="263" t="s">
        <v>308</v>
      </c>
      <c r="B151" s="249" t="str">
        <f>IFERROR(__xludf.DUMMYFUNCTION("VLOOKUP(A151,IMPORTRANGE(""https://docs.google.com/spreadsheets/d/1oJmkDK37Qizzdaxn4KCwh1BMwdNWuHCx3AGH8BC9yu0/edit?gid=781951868#gid=781951868"",""キャラ!D:F""),3,false)"),"鴨乃橋 ロン")</f>
        <v>鴨乃橋 ロン</v>
      </c>
      <c r="C151" s="265" t="s">
        <v>270</v>
      </c>
      <c r="D151" s="251">
        <f t="shared" si="14"/>
        <v>2210</v>
      </c>
      <c r="E151" s="252">
        <f t="shared" si="16"/>
        <v>0.00944</v>
      </c>
      <c r="F151" s="257"/>
      <c r="G151" s="1"/>
      <c r="H151" s="206"/>
    </row>
    <row r="152">
      <c r="A152" s="263" t="s">
        <v>309</v>
      </c>
      <c r="B152" s="249" t="str">
        <f>IFERROR(__xludf.DUMMYFUNCTION("VLOOKUP(A152,IMPORTRANGE(""https://docs.google.com/spreadsheets/d/1oJmkDK37Qizzdaxn4KCwh1BMwdNWuHCx3AGH8BC9yu0/edit?gid=781951868#gid=781951868"",""キャラ!D:F""),3,false)"),"阿波連 れいな")</f>
        <v>阿波連 れいな</v>
      </c>
      <c r="C152" s="265" t="s">
        <v>270</v>
      </c>
      <c r="D152" s="251">
        <f t="shared" si="14"/>
        <v>2210</v>
      </c>
      <c r="E152" s="252">
        <f t="shared" si="16"/>
        <v>0.00944</v>
      </c>
      <c r="F152" s="257"/>
      <c r="G152" s="1"/>
      <c r="H152" s="206"/>
    </row>
    <row r="153">
      <c r="A153" s="263" t="s">
        <v>310</v>
      </c>
      <c r="B153" s="249" t="str">
        <f>IFERROR(__xludf.DUMMYFUNCTION("VLOOKUP(A153,IMPORTRANGE(""https://docs.google.com/spreadsheets/d/1oJmkDK37Qizzdaxn4KCwh1BMwdNWuHCx3AGH8BC9yu0/edit?gid=781951868#gid=781951868"",""キャラ!D:F""),3,false)"),"山田浅ェ門 佐切")</f>
        <v>山田浅ェ門 佐切</v>
      </c>
      <c r="C153" s="265" t="s">
        <v>270</v>
      </c>
      <c r="D153" s="251">
        <f t="shared" si="14"/>
        <v>2210</v>
      </c>
      <c r="E153" s="252">
        <f t="shared" si="16"/>
        <v>0.00944</v>
      </c>
      <c r="F153" s="257"/>
      <c r="G153" s="7"/>
      <c r="H153" s="206"/>
    </row>
    <row r="154">
      <c r="A154" s="263" t="s">
        <v>311</v>
      </c>
      <c r="B154" s="249" t="str">
        <f>IFERROR(__xludf.DUMMYFUNCTION("VLOOKUP(A154,IMPORTRANGE(""https://docs.google.com/spreadsheets/d/1oJmkDK37Qizzdaxn4KCwh1BMwdNWuHCx3AGH8BC9yu0/edit?gid=781951868#gid=781951868"",""キャラ!D:F""),3,false)"),"冬木 美波")</f>
        <v>冬木 美波</v>
      </c>
      <c r="C154" s="265" t="s">
        <v>270</v>
      </c>
      <c r="D154" s="251">
        <f t="shared" si="14"/>
        <v>2210</v>
      </c>
      <c r="E154" s="252">
        <f t="shared" si="16"/>
        <v>0.00944</v>
      </c>
      <c r="F154" s="257"/>
      <c r="G154" s="1"/>
      <c r="H154" s="206"/>
    </row>
    <row r="155">
      <c r="A155" s="263" t="s">
        <v>312</v>
      </c>
      <c r="B155" s="249" t="str">
        <f>IFERROR(__xludf.DUMMYFUNCTION("VLOOKUP(A155,IMPORTRANGE(""https://docs.google.com/spreadsheets/d/1oJmkDK37Qizzdaxn4KCwh1BMwdNWuHCx3AGH8BC9yu0/edit?gid=781951868#gid=781951868"",""キャラ!D:F""),3,false)"),"秋野 沙友理")</f>
        <v>秋野 沙友理</v>
      </c>
      <c r="C155" s="265" t="s">
        <v>270</v>
      </c>
      <c r="D155" s="251">
        <f t="shared" si="14"/>
        <v>2210</v>
      </c>
      <c r="E155" s="252">
        <f t="shared" si="16"/>
        <v>0.00944</v>
      </c>
      <c r="F155" s="264"/>
      <c r="G155" s="1"/>
      <c r="H155" s="206"/>
    </row>
    <row r="156">
      <c r="A156" s="248" t="s">
        <v>313</v>
      </c>
      <c r="B156" s="249" t="str">
        <f>IFERROR(__xludf.DUMMYFUNCTION("VLOOKUP(A156,IMPORTRANGE(""https://docs.google.com/spreadsheets/d/1oJmkDK37Qizzdaxn4KCwh1BMwdNWuHCx3AGH8BC9yu0/edit?gid=781951868#gid=781951868"",""キャラ!D:F""),3,false)"),"トーチャー・トルチュール")</f>
        <v>トーチャー・トルチュール</v>
      </c>
      <c r="C156" s="268" t="s">
        <v>271</v>
      </c>
      <c r="D156" s="251">
        <f t="shared" si="14"/>
        <v>20358</v>
      </c>
      <c r="E156" s="252">
        <f t="shared" ref="E156:E165" si="17">IFERROR(rounddown($F$156/$C$125,5),"0%")</f>
        <v>0.087</v>
      </c>
      <c r="F156" s="330">
        <v>0.87</v>
      </c>
      <c r="G156" s="1"/>
      <c r="H156" s="206"/>
    </row>
    <row r="157">
      <c r="A157" s="248" t="s">
        <v>314</v>
      </c>
      <c r="B157" s="249" t="str">
        <f>IFERROR(__xludf.DUMMYFUNCTION("VLOOKUP(A157,IMPORTRANGE(""https://docs.google.com/spreadsheets/d/1oJmkDK37Qizzdaxn4KCwh1BMwdNWuHCx3AGH8BC9yu0/edit?gid=781951868#gid=781951868"",""キャラ!D:F""),3,false)"),"清峰 葉流火")</f>
        <v>清峰 葉流火</v>
      </c>
      <c r="C157" s="268" t="s">
        <v>271</v>
      </c>
      <c r="D157" s="251">
        <f t="shared" si="14"/>
        <v>20358</v>
      </c>
      <c r="E157" s="252">
        <f t="shared" si="17"/>
        <v>0.087</v>
      </c>
      <c r="F157" s="257"/>
      <c r="G157" s="1"/>
      <c r="H157" s="206"/>
    </row>
    <row r="158">
      <c r="A158" s="248" t="s">
        <v>315</v>
      </c>
      <c r="B158" s="249" t="str">
        <f>IFERROR(__xludf.DUMMYFUNCTION("VLOOKUP(A158,IMPORTRANGE(""https://docs.google.com/spreadsheets/d/1oJmkDK37Qizzdaxn4KCwh1BMwdNWuHCx3AGH8BC9yu0/edit?gid=781951868#gid=781951868"",""キャラ!D:F""),3,false)"),"要 圭")</f>
        <v>要 圭</v>
      </c>
      <c r="C158" s="268" t="s">
        <v>271</v>
      </c>
      <c r="D158" s="251">
        <f t="shared" si="14"/>
        <v>20358</v>
      </c>
      <c r="E158" s="252">
        <f t="shared" si="17"/>
        <v>0.087</v>
      </c>
      <c r="F158" s="257"/>
      <c r="G158" s="1"/>
      <c r="H158" s="206"/>
    </row>
    <row r="159">
      <c r="A159" s="248" t="s">
        <v>316</v>
      </c>
      <c r="B159" s="249" t="str">
        <f>IFERROR(__xludf.DUMMYFUNCTION("VLOOKUP(A159,IMPORTRANGE(""https://docs.google.com/spreadsheets/d/1oJmkDK37Qizzdaxn4KCwh1BMwdNWuHCx3AGH8BC9yu0/edit?gid=781951868#gid=781951868"",""キャラ!D:F""),3,false)"),"市川 レノ")</f>
        <v>市川 レノ</v>
      </c>
      <c r="C159" s="268" t="s">
        <v>271</v>
      </c>
      <c r="D159" s="251">
        <f t="shared" si="14"/>
        <v>20358</v>
      </c>
      <c r="E159" s="252">
        <f t="shared" si="17"/>
        <v>0.087</v>
      </c>
      <c r="F159" s="257"/>
      <c r="G159" s="1"/>
      <c r="H159" s="206"/>
    </row>
    <row r="160">
      <c r="A160" s="248" t="s">
        <v>317</v>
      </c>
      <c r="B160" s="249" t="str">
        <f>IFERROR(__xludf.DUMMYFUNCTION("VLOOKUP(A160,IMPORTRANGE(""https://docs.google.com/spreadsheets/d/1oJmkDK37Qizzdaxn4KCwh1BMwdNWuHCx3AGH8BC9yu0/edit?gid=781951868#gid=781951868"",""キャラ!D:F""),3,false)"),"東 日万凛")</f>
        <v>東 日万凛</v>
      </c>
      <c r="C160" s="268" t="s">
        <v>271</v>
      </c>
      <c r="D160" s="251">
        <f t="shared" si="14"/>
        <v>20358</v>
      </c>
      <c r="E160" s="252">
        <f t="shared" si="17"/>
        <v>0.087</v>
      </c>
      <c r="F160" s="257"/>
      <c r="G160" s="1"/>
      <c r="H160" s="206"/>
    </row>
    <row r="161">
      <c r="A161" s="248" t="s">
        <v>318</v>
      </c>
      <c r="B161" s="249" t="str">
        <f>IFERROR(__xludf.DUMMYFUNCTION("VLOOKUP(A161,IMPORTRANGE(""https://docs.google.com/spreadsheets/d/1oJmkDK37Qizzdaxn4KCwh1BMwdNWuHCx3AGH8BC9yu0/edit?gid=781951868#gid=781951868"",""キャラ!D:F""),3,false)"),"駿河 朱々")</f>
        <v>駿河 朱々</v>
      </c>
      <c r="C161" s="268" t="s">
        <v>271</v>
      </c>
      <c r="D161" s="251">
        <f t="shared" si="14"/>
        <v>20358</v>
      </c>
      <c r="E161" s="252">
        <f t="shared" si="17"/>
        <v>0.087</v>
      </c>
      <c r="F161" s="257"/>
      <c r="G161" s="1"/>
      <c r="H161" s="206"/>
    </row>
    <row r="162">
      <c r="A162" s="248" t="s">
        <v>319</v>
      </c>
      <c r="B162" s="249" t="str">
        <f>IFERROR(__xludf.DUMMYFUNCTION("VLOOKUP(A162,IMPORTRANGE(""https://docs.google.com/spreadsheets/d/1oJmkDK37Qizzdaxn4KCwh1BMwdNWuHCx3AGH8BC9yu0/edit?gid=781951868#gid=781951868"",""キャラ!D:F""),3,false)"),"ライドウ")</f>
        <v>ライドウ</v>
      </c>
      <c r="C162" s="268" t="s">
        <v>271</v>
      </c>
      <c r="D162" s="251">
        <f t="shared" si="14"/>
        <v>20358</v>
      </c>
      <c r="E162" s="252">
        <f t="shared" si="17"/>
        <v>0.087</v>
      </c>
      <c r="F162" s="257"/>
      <c r="G162" s="1"/>
      <c r="H162" s="206"/>
    </row>
    <row r="163">
      <c r="A163" s="248" t="s">
        <v>320</v>
      </c>
      <c r="B163" s="249" t="str">
        <f>IFERROR(__xludf.DUMMYFUNCTION("VLOOKUP(A163,IMPORTRANGE(""https://docs.google.com/spreadsheets/d/1oJmkDK37Qizzdaxn4KCwh1BMwdNWuHCx3AGH8BC9yu0/edit?gid=781951868#gid=781951868"",""キャラ!D:F""),3,false)"),"山田浅ェ門 仙汰")</f>
        <v>山田浅ェ門 仙汰</v>
      </c>
      <c r="C163" s="268" t="s">
        <v>271</v>
      </c>
      <c r="D163" s="251">
        <f t="shared" si="14"/>
        <v>20358</v>
      </c>
      <c r="E163" s="252">
        <f t="shared" si="17"/>
        <v>0.087</v>
      </c>
      <c r="F163" s="257"/>
      <c r="G163" s="1"/>
      <c r="H163" s="206"/>
    </row>
    <row r="164">
      <c r="A164" s="248" t="s">
        <v>321</v>
      </c>
      <c r="B164" s="249" t="str">
        <f>IFERROR(__xludf.DUMMYFUNCTION("VLOOKUP(A164,IMPORTRANGE(""https://docs.google.com/spreadsheets/d/1oJmkDK37Qizzdaxn4KCwh1BMwdNWuHCx3AGH8BC9yu0/edit?gid=781951868#gid=781951868"",""キャラ!D:F""),3,false)"),"越谷 仁美")</f>
        <v>越谷 仁美</v>
      </c>
      <c r="C164" s="268" t="s">
        <v>271</v>
      </c>
      <c r="D164" s="251">
        <f t="shared" si="14"/>
        <v>20358</v>
      </c>
      <c r="E164" s="252">
        <f t="shared" si="17"/>
        <v>0.087</v>
      </c>
      <c r="F164" s="257"/>
      <c r="G164" s="1"/>
      <c r="H164" s="206"/>
    </row>
    <row r="165">
      <c r="A165" s="248" t="s">
        <v>322</v>
      </c>
      <c r="B165" s="249" t="str">
        <f>IFERROR(__xludf.DUMMYFUNCTION("VLOOKUP(A165,IMPORTRANGE(""https://docs.google.com/spreadsheets/d/1oJmkDK37Qizzdaxn4KCwh1BMwdNWuHCx3AGH8BC9yu0/edit?gid=781951868#gid=781951868"",""キャラ!D:F""),3,false)"),"小舟 澪")</f>
        <v>小舟 澪</v>
      </c>
      <c r="C165" s="268" t="s">
        <v>271</v>
      </c>
      <c r="D165" s="251">
        <f t="shared" si="14"/>
        <v>20358</v>
      </c>
      <c r="E165" s="252">
        <f t="shared" si="17"/>
        <v>0.087</v>
      </c>
      <c r="F165" s="264"/>
      <c r="G165" s="1"/>
      <c r="H165" s="206"/>
    </row>
    <row r="166">
      <c r="A166" s="331"/>
      <c r="B166" s="287"/>
      <c r="C166" s="332"/>
      <c r="D166" s="289"/>
      <c r="E166" s="270">
        <f t="shared" ref="E166:F166" si="18">sum(E131:E165)</f>
        <v>0.99991</v>
      </c>
      <c r="F166" s="271">
        <f t="shared" si="18"/>
        <v>1</v>
      </c>
      <c r="G166" s="1"/>
      <c r="H166" s="1"/>
    </row>
    <row r="167">
      <c r="A167" s="331"/>
      <c r="B167" s="287"/>
      <c r="C167" s="332"/>
      <c r="D167" s="289"/>
      <c r="E167" s="290"/>
      <c r="F167" s="333"/>
      <c r="G167" s="1"/>
      <c r="H167" s="1"/>
    </row>
    <row r="168">
      <c r="A168" s="331"/>
      <c r="B168" s="287"/>
      <c r="C168" s="332"/>
      <c r="D168" s="289"/>
      <c r="E168" s="290"/>
      <c r="F168" s="333"/>
      <c r="G168" s="1"/>
      <c r="H168" s="1"/>
    </row>
    <row r="169">
      <c r="A169" s="336" t="s">
        <v>332</v>
      </c>
      <c r="B169" s="203"/>
      <c r="C169" s="203"/>
      <c r="D169" s="204"/>
      <c r="E169" s="274"/>
      <c r="F169" s="275"/>
      <c r="G169" s="204"/>
      <c r="H169" s="205"/>
    </row>
    <row r="170">
      <c r="A170" s="68"/>
      <c r="B170" s="68"/>
      <c r="C170" s="68"/>
      <c r="D170" s="1"/>
      <c r="E170" s="130"/>
      <c r="F170" s="272"/>
      <c r="G170" s="1"/>
      <c r="H170" s="206"/>
    </row>
    <row r="171">
      <c r="A171" s="68"/>
      <c r="B171" s="276" t="s">
        <v>264</v>
      </c>
      <c r="C171" s="276" t="s">
        <v>265</v>
      </c>
      <c r="D171" s="229" t="s">
        <v>266</v>
      </c>
      <c r="E171" s="277" t="s">
        <v>267</v>
      </c>
      <c r="F171" s="272"/>
      <c r="G171" s="1"/>
      <c r="H171" s="206"/>
    </row>
    <row r="172">
      <c r="A172" s="68" t="s">
        <v>268</v>
      </c>
      <c r="B172" s="321">
        <v>0.015</v>
      </c>
      <c r="C172" s="278">
        <f t="shared" ref="C172:C175" si="19">countif($C$131:$C$165,A172)</f>
        <v>2</v>
      </c>
      <c r="D172" s="232">
        <f t="shared" ref="D172:D175" si="20">$D$177*B172</f>
        <v>3510</v>
      </c>
      <c r="E172" s="233">
        <f t="shared" ref="E172:E175" si="21">IFERROR(D172/C172,"0")</f>
        <v>1755</v>
      </c>
      <c r="F172" s="272"/>
      <c r="G172" s="1"/>
      <c r="H172" s="206"/>
    </row>
    <row r="173">
      <c r="A173" s="68" t="s">
        <v>269</v>
      </c>
      <c r="B173" s="322">
        <v>0.015</v>
      </c>
      <c r="C173" s="278">
        <f t="shared" si="19"/>
        <v>13</v>
      </c>
      <c r="D173" s="232">
        <f t="shared" si="20"/>
        <v>3510</v>
      </c>
      <c r="E173" s="233">
        <f t="shared" si="21"/>
        <v>270</v>
      </c>
      <c r="F173" s="272"/>
      <c r="G173" s="1"/>
      <c r="H173" s="206"/>
    </row>
    <row r="174">
      <c r="A174" s="68" t="s">
        <v>388</v>
      </c>
      <c r="B174" s="321">
        <v>0.1</v>
      </c>
      <c r="C174" s="278">
        <f t="shared" si="19"/>
        <v>1</v>
      </c>
      <c r="D174" s="232">
        <f t="shared" si="20"/>
        <v>23400</v>
      </c>
      <c r="E174" s="233">
        <f t="shared" si="21"/>
        <v>23400</v>
      </c>
      <c r="F174" s="272"/>
      <c r="G174" s="1"/>
      <c r="H174" s="206"/>
    </row>
    <row r="175">
      <c r="A175" s="68" t="s">
        <v>270</v>
      </c>
      <c r="B175" s="322">
        <v>0.87</v>
      </c>
      <c r="C175" s="278">
        <f t="shared" si="19"/>
        <v>9</v>
      </c>
      <c r="D175" s="232">
        <f t="shared" si="20"/>
        <v>203580</v>
      </c>
      <c r="E175" s="233">
        <f t="shared" si="21"/>
        <v>22620</v>
      </c>
      <c r="F175" s="272"/>
      <c r="G175" s="1"/>
      <c r="H175" s="206"/>
    </row>
    <row r="176">
      <c r="A176" s="280"/>
      <c r="B176" s="281"/>
      <c r="C176" s="68"/>
      <c r="D176" s="282"/>
      <c r="E176" s="241"/>
      <c r="F176" s="272"/>
      <c r="G176" s="1"/>
      <c r="H176" s="206"/>
    </row>
    <row r="177">
      <c r="A177" s="278" t="s">
        <v>93</v>
      </c>
      <c r="B177" s="238">
        <f t="shared" ref="B177:C177" si="22">sum(B172:B176)</f>
        <v>1</v>
      </c>
      <c r="C177" s="283">
        <f t="shared" si="22"/>
        <v>25</v>
      </c>
      <c r="D177" s="323">
        <v>234000.0</v>
      </c>
      <c r="E177" s="130"/>
      <c r="F177" s="272"/>
      <c r="G177" s="1"/>
      <c r="H177" s="206"/>
    </row>
    <row r="178">
      <c r="A178" s="68"/>
      <c r="B178" s="68"/>
      <c r="C178" s="278">
        <f>COUNTA(C181:C213)</f>
        <v>28</v>
      </c>
      <c r="D178" s="1"/>
      <c r="E178" s="130"/>
      <c r="F178" s="272"/>
      <c r="G178" s="1"/>
      <c r="H178" s="206"/>
    </row>
    <row r="179">
      <c r="A179" s="68"/>
      <c r="B179" s="68"/>
      <c r="C179" s="68"/>
      <c r="D179" s="1"/>
      <c r="E179" s="130"/>
      <c r="F179" s="272"/>
      <c r="G179" s="1"/>
      <c r="H179" s="206"/>
    </row>
    <row r="180">
      <c r="A180" s="243" t="s">
        <v>273</v>
      </c>
      <c r="B180" s="243" t="s">
        <v>274</v>
      </c>
      <c r="C180" s="243" t="s">
        <v>364</v>
      </c>
      <c r="D180" s="329" t="s">
        <v>276</v>
      </c>
      <c r="E180" s="247" t="s">
        <v>277</v>
      </c>
      <c r="F180" s="316" t="s">
        <v>278</v>
      </c>
      <c r="G180" s="1"/>
      <c r="H180" s="206"/>
    </row>
    <row r="181">
      <c r="A181" s="248" t="s">
        <v>279</v>
      </c>
      <c r="B181" s="249" t="str">
        <f>IFERROR(__xludf.DUMMYFUNCTION("VLOOKUP(A181,IMPORTRANGE(""https://docs.google.com/spreadsheets/d/1oJmkDK37Qizzdaxn4KCwh1BMwdNWuHCx3AGH8BC9yu0/edit?gid=781951868#gid=781951868"",""キャラ!D:F""),3,false)"),"第三部隊隊長 亜白 ミナ")</f>
        <v>第三部隊隊長 亜白 ミナ</v>
      </c>
      <c r="C181" s="250" t="s">
        <v>268</v>
      </c>
      <c r="D181" s="251">
        <f t="shared" ref="D181:D205" si="23">vlookup(C181,$A$172:$D$176,4,false)/vlookup(C181,$A$172:$D$176,3,false)</f>
        <v>1755</v>
      </c>
      <c r="E181" s="252">
        <f>IFERROR(rounddown(F181/$C$172,5),"0%")</f>
        <v>0.0075</v>
      </c>
      <c r="F181" s="330">
        <v>0.015</v>
      </c>
      <c r="G181" s="1" t="s">
        <v>389</v>
      </c>
      <c r="H181" s="206"/>
    </row>
    <row r="182">
      <c r="A182" s="248" t="s">
        <v>280</v>
      </c>
      <c r="B182" s="249" t="str">
        <f>IFERROR(__xludf.DUMMYFUNCTION("VLOOKUP(A182,IMPORTRANGE(""https://docs.google.com/spreadsheets/d/1oJmkDK37Qizzdaxn4KCwh1BMwdNWuHCx3AGH8BC9yu0/edit?gid=781951868#gid=781951868"",""キャラ!D:F""),3,false)"),"姉を想う盲愛 ユーリ・ブライア")</f>
        <v>姉を想う盲愛 ユーリ・ブライア</v>
      </c>
      <c r="C182" s="250" t="s">
        <v>268</v>
      </c>
      <c r="D182" s="251">
        <f t="shared" si="23"/>
        <v>1755</v>
      </c>
      <c r="E182" s="252">
        <f>IFERROR(rounddown(F181/$C$172,5),"0%")</f>
        <v>0.0075</v>
      </c>
      <c r="F182" s="257"/>
      <c r="G182" s="1"/>
      <c r="H182" s="206"/>
    </row>
    <row r="183">
      <c r="A183" s="248" t="s">
        <v>284</v>
      </c>
      <c r="B183" s="249" t="str">
        <f>IFERROR(__xludf.DUMMYFUNCTION("VLOOKUP(A183,IMPORTRANGE(""https://docs.google.com/spreadsheets/d/1oJmkDK37Qizzdaxn4KCwh1BMwdNWuHCx3AGH8BC9yu0/edit?gid=781951868#gid=781951868"",""キャラ!D:F""),3,false)"),"&lt;黄昏&gt; ロイド")</f>
        <v>&lt;黄昏&gt; ロイド</v>
      </c>
      <c r="C183" s="255" t="s">
        <v>269</v>
      </c>
      <c r="D183" s="251">
        <f t="shared" si="23"/>
        <v>270</v>
      </c>
      <c r="E183" s="252">
        <f t="shared" ref="E183:E195" si="24">IFERROR(rounddown($F$183/$C$173,5),"0%")</f>
        <v>0.00115</v>
      </c>
      <c r="F183" s="330">
        <v>0.015</v>
      </c>
      <c r="G183" s="1"/>
      <c r="H183" s="206"/>
    </row>
    <row r="184">
      <c r="A184" s="248" t="s">
        <v>285</v>
      </c>
      <c r="B184" s="249" t="str">
        <f>IFERROR(__xludf.DUMMYFUNCTION("VLOOKUP(A184,IMPORTRANGE(""https://docs.google.com/spreadsheets/d/1oJmkDK37Qizzdaxn4KCwh1BMwdNWuHCx3AGH8BC9yu0/edit?gid=781951868#gid=781951868"",""キャラ!D:F""),3,false)"),"&lt;いばら姫&gt; ヨル")</f>
        <v>&lt;いばら姫&gt; ヨル</v>
      </c>
      <c r="C184" s="255" t="s">
        <v>269</v>
      </c>
      <c r="D184" s="251">
        <f t="shared" si="23"/>
        <v>270</v>
      </c>
      <c r="E184" s="252">
        <f t="shared" si="24"/>
        <v>0.00115</v>
      </c>
      <c r="F184" s="257"/>
      <c r="G184" s="1"/>
      <c r="H184" s="206"/>
    </row>
    <row r="185">
      <c r="A185" s="248" t="s">
        <v>286</v>
      </c>
      <c r="B185" s="249" t="str">
        <f>IFERROR(__xludf.DUMMYFUNCTION("VLOOKUP(A185,IMPORTRANGE(""https://docs.google.com/spreadsheets/d/1oJmkDK37Qizzdaxn4KCwh1BMwdNWuHCx3AGH8BC9yu0/edit?gid=781951868#gid=781951868"",""キャラ!D:F""),3,false)"),"わくわく アーニャ")</f>
        <v>わくわく アーニャ</v>
      </c>
      <c r="C185" s="255" t="s">
        <v>269</v>
      </c>
      <c r="D185" s="251">
        <f t="shared" si="23"/>
        <v>270</v>
      </c>
      <c r="E185" s="252">
        <f t="shared" si="24"/>
        <v>0.00115</v>
      </c>
      <c r="F185" s="257"/>
      <c r="G185" s="1"/>
      <c r="H185" s="206"/>
    </row>
    <row r="186">
      <c r="A186" s="248" t="s">
        <v>287</v>
      </c>
      <c r="B186" s="249" t="str">
        <f>IFERROR(__xludf.DUMMYFUNCTION("VLOOKUP(A186,IMPORTRANGE(""https://docs.google.com/spreadsheets/d/1oJmkDK37Qizzdaxn4KCwh1BMwdNWuHCx3AGH8BC9yu0/edit?gid=781951868#gid=781951868"",""キャラ!D:F""),3,false)"),"ターボババアの霊力 オカルン")</f>
        <v>ターボババアの霊力 オカルン</v>
      </c>
      <c r="C186" s="255" t="s">
        <v>269</v>
      </c>
      <c r="D186" s="251">
        <f t="shared" si="23"/>
        <v>270</v>
      </c>
      <c r="E186" s="252">
        <f t="shared" si="24"/>
        <v>0.00115</v>
      </c>
      <c r="F186" s="257"/>
      <c r="G186" s="1"/>
      <c r="H186" s="206"/>
    </row>
    <row r="187">
      <c r="A187" s="248" t="s">
        <v>288</v>
      </c>
      <c r="B187" s="249" t="str">
        <f>IFERROR(__xludf.DUMMYFUNCTION("VLOOKUP(A187,IMPORTRANGE(""https://docs.google.com/spreadsheets/d/1oJmkDK37Qizzdaxn4KCwh1BMwdNWuHCx3AGH8BC9yu0/edit?gid=781951868#gid=781951868"",""キャラ!D:F""),3,false)"),"囚われの王女 姫様")</f>
        <v>囚われの王女 姫様</v>
      </c>
      <c r="C187" s="255" t="s">
        <v>269</v>
      </c>
      <c r="D187" s="251">
        <f t="shared" si="23"/>
        <v>270</v>
      </c>
      <c r="E187" s="252">
        <f t="shared" si="24"/>
        <v>0.00115</v>
      </c>
      <c r="F187" s="257"/>
      <c r="G187" s="1"/>
      <c r="H187" s="206"/>
    </row>
    <row r="188">
      <c r="A188" s="248" t="s">
        <v>289</v>
      </c>
      <c r="B188" s="249" t="str">
        <f>IFERROR(__xludf.DUMMYFUNCTION("VLOOKUP(A188,IMPORTRANGE(""https://docs.google.com/spreadsheets/d/1oJmkDK37Qizzdaxn4KCwh1BMwdNWuHCx3AGH8BC9yu0/edit?gid=781951868#gid=781951868"",""キャラ!D:F""),3,false)"),"悪魔が恐れる悪魔 チェンソーマン")</f>
        <v>悪魔が恐れる悪魔 チェンソーマン</v>
      </c>
      <c r="C188" s="255" t="s">
        <v>269</v>
      </c>
      <c r="D188" s="251">
        <f t="shared" si="23"/>
        <v>270</v>
      </c>
      <c r="E188" s="252">
        <f t="shared" si="24"/>
        <v>0.00115</v>
      </c>
      <c r="F188" s="257"/>
      <c r="G188" s="1"/>
      <c r="H188" s="206"/>
    </row>
    <row r="189">
      <c r="A189" s="248" t="s">
        <v>290</v>
      </c>
      <c r="B189" s="249" t="str">
        <f>IFERROR(__xludf.DUMMYFUNCTION("VLOOKUP(A189,IMPORTRANGE(""https://docs.google.com/spreadsheets/d/1oJmkDK37Qizzdaxn4KCwh1BMwdNWuHCx3AGH8BC9yu0/edit?gid=781951868#gid=781951868"",""キャラ!D:F""),3,false)"),"隠された英雄の姿 怪獣８号")</f>
        <v>隠された英雄の姿 怪獣８号</v>
      </c>
      <c r="C189" s="255" t="s">
        <v>269</v>
      </c>
      <c r="D189" s="251">
        <f t="shared" si="23"/>
        <v>270</v>
      </c>
      <c r="E189" s="252">
        <f t="shared" si="24"/>
        <v>0.00115</v>
      </c>
      <c r="F189" s="257"/>
      <c r="G189" s="1"/>
      <c r="H189" s="206"/>
    </row>
    <row r="190">
      <c r="A190" s="248" t="s">
        <v>291</v>
      </c>
      <c r="B190" s="249" t="str">
        <f>IFERROR(__xludf.DUMMYFUNCTION("VLOOKUP(A190,IMPORTRANGE(""https://docs.google.com/spreadsheets/d/1oJmkDK37Qizzdaxn4KCwh1BMwdNWuHCx3AGH8BC9yu0/edit?gid=781951868#gid=781951868"",""キャラ!D:F""),3,false)"),"リリエルに捧ぐ愛 天乃 リリサ")</f>
        <v>リリエルに捧ぐ愛 天乃 リリサ</v>
      </c>
      <c r="C190" s="255" t="s">
        <v>269</v>
      </c>
      <c r="D190" s="251">
        <f t="shared" si="23"/>
        <v>270</v>
      </c>
      <c r="E190" s="252">
        <f t="shared" si="24"/>
        <v>0.00115</v>
      </c>
      <c r="F190" s="257"/>
      <c r="G190" s="1"/>
      <c r="H190" s="206"/>
    </row>
    <row r="191">
      <c r="A191" s="248" t="s">
        <v>292</v>
      </c>
      <c r="B191" s="249" t="str">
        <f>IFERROR(__xludf.DUMMYFUNCTION("VLOOKUP(A191,IMPORTRANGE(""https://docs.google.com/spreadsheets/d/1oJmkDK37Qizzdaxn4KCwh1BMwdNWuHCx3AGH8BC9yu0/edit?gid=781951868#gid=781951868"",""キャラ!D:F""),3,false)"),"コスプレに託す乙女心 橘 美花莉")</f>
        <v>コスプレに託す乙女心 橘 美花莉</v>
      </c>
      <c r="C191" s="255" t="s">
        <v>269</v>
      </c>
      <c r="D191" s="251">
        <f t="shared" si="23"/>
        <v>270</v>
      </c>
      <c r="E191" s="252">
        <f t="shared" si="24"/>
        <v>0.00115</v>
      </c>
      <c r="F191" s="257"/>
      <c r="G191" s="1"/>
      <c r="H191" s="206"/>
    </row>
    <row r="192">
      <c r="A192" s="248" t="s">
        <v>293</v>
      </c>
      <c r="B192" s="249" t="str">
        <f>IFERROR(__xludf.DUMMYFUNCTION("VLOOKUP(A192,IMPORTRANGE(""https://docs.google.com/spreadsheets/d/1oJmkDK37Qizzdaxn4KCwh1BMwdNWuHCx3AGH8BC9yu0/edit?gid=781951868#gid=781951868"",""キャラ!D:F""),3,false)"),"誇り高き魔都の剣姫 羽前 京香")</f>
        <v>誇り高き魔都の剣姫 羽前 京香</v>
      </c>
      <c r="C192" s="255" t="s">
        <v>269</v>
      </c>
      <c r="D192" s="251">
        <f t="shared" si="23"/>
        <v>270</v>
      </c>
      <c r="E192" s="252">
        <f t="shared" si="24"/>
        <v>0.00115</v>
      </c>
      <c r="F192" s="257"/>
      <c r="G192" s="1"/>
      <c r="H192" s="206"/>
    </row>
    <row r="193">
      <c r="A193" s="248" t="s">
        <v>294</v>
      </c>
      <c r="B193" s="249" t="str">
        <f>IFERROR(__xludf.DUMMYFUNCTION("VLOOKUP(A193,IMPORTRANGE(""https://docs.google.com/spreadsheets/d/1oJmkDK37Qizzdaxn4KCwh1BMwdNWuHCx3AGH8BC9yu0/edit?gid=781951868#gid=781951868"",""キャラ!D:F""),3,false)"),"がらんの画眉丸")</f>
        <v>がらんの画眉丸</v>
      </c>
      <c r="C193" s="255" t="s">
        <v>269</v>
      </c>
      <c r="D193" s="251">
        <f t="shared" si="23"/>
        <v>270</v>
      </c>
      <c r="E193" s="252">
        <f t="shared" si="24"/>
        <v>0.00115</v>
      </c>
      <c r="F193" s="257"/>
      <c r="G193" s="1"/>
      <c r="H193" s="206"/>
    </row>
    <row r="194">
      <c r="A194" s="248" t="s">
        <v>295</v>
      </c>
      <c r="B194" s="249" t="str">
        <f>IFERROR(__xludf.DUMMYFUNCTION("VLOOKUP(A194,IMPORTRANGE(""https://docs.google.com/spreadsheets/d/1oJmkDK37Qizzdaxn4KCwh1BMwdNWuHCx3AGH8BC9yu0/edit?gid=781951868#gid=781951868"",""キャラ!D:F""),3,false)"),"新人魔法少女 桜木 カナ")</f>
        <v>新人魔法少女 桜木 カナ</v>
      </c>
      <c r="C194" s="255" t="s">
        <v>269</v>
      </c>
      <c r="D194" s="251">
        <f t="shared" si="23"/>
        <v>270</v>
      </c>
      <c r="E194" s="252">
        <f t="shared" si="24"/>
        <v>0.00115</v>
      </c>
      <c r="F194" s="257"/>
      <c r="G194" s="1"/>
      <c r="H194" s="206"/>
    </row>
    <row r="195">
      <c r="A195" s="248" t="s">
        <v>296</v>
      </c>
      <c r="B195" s="249" t="str">
        <f>IFERROR(__xludf.DUMMYFUNCTION("VLOOKUP(A195,IMPORTRANGE(""https://docs.google.com/spreadsheets/d/1oJmkDK37Qizzdaxn4KCwh1BMwdNWuHCx3AGH8BC9yu0/edit?gid=781951868#gid=781951868"",""キャラ!D:F""),3,false)"),"影のウシオ 小舟 潮")</f>
        <v>影のウシオ 小舟 潮</v>
      </c>
      <c r="C195" s="255" t="s">
        <v>269</v>
      </c>
      <c r="D195" s="251">
        <f t="shared" si="23"/>
        <v>270</v>
      </c>
      <c r="E195" s="252">
        <f t="shared" si="24"/>
        <v>0.00115</v>
      </c>
      <c r="F195" s="264"/>
      <c r="G195" s="1"/>
      <c r="H195" s="206"/>
    </row>
    <row r="196">
      <c r="A196" s="248" t="s">
        <v>297</v>
      </c>
      <c r="B196" s="249" t="str">
        <f>IFERROR(__xludf.DUMMYFUNCTION("VLOOKUP(A196,IMPORTRANGE(""https://docs.google.com/spreadsheets/d/1oJmkDK37Qizzdaxn4KCwh1BMwdNWuHCx3AGH8BC9yu0/edit?gid=781951868#gid=781951868"",""キャラ!D:F""),3,false)"),"保科 宗四郎")</f>
        <v>保科 宗四郎</v>
      </c>
      <c r="C196" s="328" t="s">
        <v>388</v>
      </c>
      <c r="D196" s="251">
        <f t="shared" si="23"/>
        <v>23400</v>
      </c>
      <c r="E196" s="252">
        <f>IFERROR(rounddown($F$196/$C$174,5),"0%")</f>
        <v>0.1</v>
      </c>
      <c r="F196" s="285">
        <v>0.1</v>
      </c>
      <c r="G196" s="1"/>
      <c r="H196" s="206"/>
    </row>
    <row r="197">
      <c r="A197" s="263" t="s">
        <v>304</v>
      </c>
      <c r="B197" s="249" t="str">
        <f>IFERROR(__xludf.DUMMYFUNCTION("VLOOKUP(A197,IMPORTRANGE(""https://docs.google.com/spreadsheets/d/1oJmkDK37Qizzdaxn4KCwh1BMwdNWuHCx3AGH8BC9yu0/edit?gid=781951868#gid=781951868"",""キャラ!D:F""),3,false)"),"モモ")</f>
        <v>モモ</v>
      </c>
      <c r="C197" s="265" t="s">
        <v>270</v>
      </c>
      <c r="D197" s="251">
        <f t="shared" si="23"/>
        <v>22620</v>
      </c>
      <c r="E197" s="252">
        <f t="shared" ref="E197:E205" si="25">IFERROR(rounddown($F$197/$C$175,5),"0%")</f>
        <v>0.09666</v>
      </c>
      <c r="F197" s="285">
        <v>0.87</v>
      </c>
      <c r="G197" s="1"/>
      <c r="H197" s="206"/>
    </row>
    <row r="198">
      <c r="A198" s="263" t="s">
        <v>305</v>
      </c>
      <c r="B198" s="249" t="str">
        <f>IFERROR(__xludf.DUMMYFUNCTION("VLOOKUP(A198,IMPORTRANGE(""https://docs.google.com/spreadsheets/d/1oJmkDK37Qizzdaxn4KCwh1BMwdNWuHCx3AGH8BC9yu0/edit?gid=781951868#gid=781951868"",""キャラ!D:F""),3,false)"),"早川 アキ")</f>
        <v>早川 アキ</v>
      </c>
      <c r="C198" s="265" t="s">
        <v>270</v>
      </c>
      <c r="D198" s="251">
        <f t="shared" si="23"/>
        <v>22620</v>
      </c>
      <c r="E198" s="252">
        <f t="shared" si="25"/>
        <v>0.09666</v>
      </c>
      <c r="F198" s="257"/>
      <c r="G198" s="1"/>
      <c r="H198" s="206"/>
    </row>
    <row r="199">
      <c r="A199" s="263" t="s">
        <v>306</v>
      </c>
      <c r="B199" s="249" t="str">
        <f>IFERROR(__xludf.DUMMYFUNCTION("VLOOKUP(A199,IMPORTRANGE(""https://docs.google.com/spreadsheets/d/1oJmkDK37Qizzdaxn4KCwh1BMwdNWuHCx3AGH8BC9yu0/edit?gid=781951868#gid=781951868"",""キャラ!D:F""),3,false)"),"パワー")</f>
        <v>パワー</v>
      </c>
      <c r="C199" s="265" t="s">
        <v>270</v>
      </c>
      <c r="D199" s="251">
        <f t="shared" si="23"/>
        <v>22620</v>
      </c>
      <c r="E199" s="252">
        <f t="shared" si="25"/>
        <v>0.09666</v>
      </c>
      <c r="F199" s="257"/>
      <c r="G199" s="1"/>
      <c r="H199" s="206"/>
    </row>
    <row r="200">
      <c r="A200" s="263" t="s">
        <v>307</v>
      </c>
      <c r="B200" s="249" t="str">
        <f>IFERROR(__xludf.DUMMYFUNCTION("VLOOKUP(A200,IMPORTRANGE(""https://docs.google.com/spreadsheets/d/1oJmkDK37Qizzdaxn4KCwh1BMwdNWuHCx3AGH8BC9yu0/edit?gid=781951868#gid=781951868"",""キャラ!D:F""),3,false)"),"四ノ宮 キコル")</f>
        <v>四ノ宮 キコル</v>
      </c>
      <c r="C200" s="265" t="s">
        <v>270</v>
      </c>
      <c r="D200" s="251">
        <f t="shared" si="23"/>
        <v>22620</v>
      </c>
      <c r="E200" s="252">
        <f t="shared" si="25"/>
        <v>0.09666</v>
      </c>
      <c r="F200" s="257"/>
      <c r="G200" s="1"/>
      <c r="H200" s="206"/>
    </row>
    <row r="201">
      <c r="A201" s="263" t="s">
        <v>308</v>
      </c>
      <c r="B201" s="249" t="str">
        <f>IFERROR(__xludf.DUMMYFUNCTION("VLOOKUP(A201,IMPORTRANGE(""https://docs.google.com/spreadsheets/d/1oJmkDK37Qizzdaxn4KCwh1BMwdNWuHCx3AGH8BC9yu0/edit?gid=781951868#gid=781951868"",""キャラ!D:F""),3,false)"),"鴨乃橋 ロン")</f>
        <v>鴨乃橋 ロン</v>
      </c>
      <c r="C201" s="265" t="s">
        <v>270</v>
      </c>
      <c r="D201" s="251">
        <f t="shared" si="23"/>
        <v>22620</v>
      </c>
      <c r="E201" s="252">
        <f t="shared" si="25"/>
        <v>0.09666</v>
      </c>
      <c r="F201" s="257"/>
      <c r="G201" s="1"/>
      <c r="H201" s="206"/>
    </row>
    <row r="202">
      <c r="A202" s="263" t="s">
        <v>309</v>
      </c>
      <c r="B202" s="249" t="str">
        <f>IFERROR(__xludf.DUMMYFUNCTION("VLOOKUP(A202,IMPORTRANGE(""https://docs.google.com/spreadsheets/d/1oJmkDK37Qizzdaxn4KCwh1BMwdNWuHCx3AGH8BC9yu0/edit?gid=781951868#gid=781951868"",""キャラ!D:F""),3,false)"),"阿波連 れいな")</f>
        <v>阿波連 れいな</v>
      </c>
      <c r="C202" s="265" t="s">
        <v>270</v>
      </c>
      <c r="D202" s="251">
        <f t="shared" si="23"/>
        <v>22620</v>
      </c>
      <c r="E202" s="252">
        <f t="shared" si="25"/>
        <v>0.09666</v>
      </c>
      <c r="F202" s="257"/>
      <c r="G202" s="1"/>
      <c r="H202" s="206"/>
    </row>
    <row r="203">
      <c r="A203" s="263" t="s">
        <v>310</v>
      </c>
      <c r="B203" s="249" t="str">
        <f>IFERROR(__xludf.DUMMYFUNCTION("VLOOKUP(A203,IMPORTRANGE(""https://docs.google.com/spreadsheets/d/1oJmkDK37Qizzdaxn4KCwh1BMwdNWuHCx3AGH8BC9yu0/edit?gid=781951868#gid=781951868"",""キャラ!D:F""),3,false)"),"山田浅ェ門 佐切")</f>
        <v>山田浅ェ門 佐切</v>
      </c>
      <c r="C203" s="265" t="s">
        <v>270</v>
      </c>
      <c r="D203" s="251">
        <f t="shared" si="23"/>
        <v>22620</v>
      </c>
      <c r="E203" s="252">
        <f t="shared" si="25"/>
        <v>0.09666</v>
      </c>
      <c r="F203" s="257"/>
      <c r="G203" s="7"/>
      <c r="H203" s="206"/>
    </row>
    <row r="204">
      <c r="A204" s="263" t="s">
        <v>311</v>
      </c>
      <c r="B204" s="249" t="str">
        <f>IFERROR(__xludf.DUMMYFUNCTION("VLOOKUP(A204,IMPORTRANGE(""https://docs.google.com/spreadsheets/d/1oJmkDK37Qizzdaxn4KCwh1BMwdNWuHCx3AGH8BC9yu0/edit?gid=781951868#gid=781951868"",""キャラ!D:F""),3,false)"),"冬木 美波")</f>
        <v>冬木 美波</v>
      </c>
      <c r="C204" s="265" t="s">
        <v>270</v>
      </c>
      <c r="D204" s="251">
        <f t="shared" si="23"/>
        <v>22620</v>
      </c>
      <c r="E204" s="252">
        <f t="shared" si="25"/>
        <v>0.09666</v>
      </c>
      <c r="F204" s="257"/>
      <c r="G204" s="1"/>
      <c r="H204" s="206"/>
    </row>
    <row r="205">
      <c r="A205" s="263" t="s">
        <v>312</v>
      </c>
      <c r="B205" s="249" t="str">
        <f>IFERROR(__xludf.DUMMYFUNCTION("VLOOKUP(A205,IMPORTRANGE(""https://docs.google.com/spreadsheets/d/1oJmkDK37Qizzdaxn4KCwh1BMwdNWuHCx3AGH8BC9yu0/edit?gid=781951868#gid=781951868"",""キャラ!D:F""),3,false)"),"秋野 沙友理")</f>
        <v>秋野 沙友理</v>
      </c>
      <c r="C205" s="265" t="s">
        <v>270</v>
      </c>
      <c r="D205" s="251">
        <f t="shared" si="23"/>
        <v>22620</v>
      </c>
      <c r="E205" s="252">
        <f t="shared" si="25"/>
        <v>0.09666</v>
      </c>
      <c r="F205" s="264"/>
      <c r="G205" s="1"/>
      <c r="H205" s="206"/>
    </row>
    <row r="206">
      <c r="A206" s="331"/>
      <c r="B206" s="287"/>
      <c r="C206" s="332"/>
      <c r="D206" s="289"/>
      <c r="E206" s="270">
        <f t="shared" ref="E206:F206" si="26">sum(E181:E205)</f>
        <v>0.99989</v>
      </c>
      <c r="F206" s="271">
        <f t="shared" si="26"/>
        <v>1</v>
      </c>
      <c r="G206" s="1"/>
      <c r="H206" s="1"/>
    </row>
    <row r="207">
      <c r="A207" s="331"/>
      <c r="B207" s="287"/>
      <c r="C207" s="332"/>
      <c r="D207" s="289"/>
      <c r="E207" s="290"/>
      <c r="F207" s="333"/>
      <c r="G207" s="1"/>
      <c r="H207" s="1"/>
    </row>
    <row r="208">
      <c r="A208" s="331"/>
      <c r="B208" s="287"/>
      <c r="C208" s="332"/>
      <c r="D208" s="289"/>
      <c r="E208" s="290"/>
      <c r="F208" s="333"/>
      <c r="G208" s="1"/>
      <c r="H208" s="1"/>
    </row>
    <row r="209">
      <c r="A209" s="336" t="s">
        <v>449</v>
      </c>
      <c r="B209" s="203"/>
      <c r="C209" s="203"/>
      <c r="D209" s="204"/>
      <c r="E209" s="274"/>
      <c r="F209" s="275"/>
      <c r="G209" s="204"/>
      <c r="H209" s="205"/>
    </row>
    <row r="210">
      <c r="A210" s="68"/>
      <c r="B210" s="68"/>
      <c r="C210" s="68"/>
      <c r="D210" s="1"/>
      <c r="E210" s="130"/>
      <c r="F210" s="272"/>
      <c r="G210" s="1"/>
      <c r="H210" s="206"/>
    </row>
    <row r="211">
      <c r="A211" s="68"/>
      <c r="B211" s="276" t="s">
        <v>264</v>
      </c>
      <c r="C211" s="276" t="s">
        <v>265</v>
      </c>
      <c r="D211" s="229" t="s">
        <v>266</v>
      </c>
      <c r="E211" s="277" t="s">
        <v>267</v>
      </c>
      <c r="F211" s="272"/>
      <c r="G211" s="1"/>
      <c r="H211" s="206"/>
    </row>
    <row r="212">
      <c r="A212" s="68" t="s">
        <v>268</v>
      </c>
      <c r="B212" s="321">
        <v>0.15</v>
      </c>
      <c r="C212" s="278">
        <f t="shared" ref="C212:C213" si="27">countif($C$131:$C$165,A212)</f>
        <v>2</v>
      </c>
      <c r="D212" s="232">
        <f t="shared" ref="D212:D213" si="28">$D$215*B212</f>
        <v>390</v>
      </c>
      <c r="E212" s="233">
        <f t="shared" ref="E212:E213" si="29">IFERROR(D212/C212,"0")</f>
        <v>195</v>
      </c>
      <c r="F212" s="272"/>
      <c r="G212" s="1"/>
      <c r="H212" s="206"/>
    </row>
    <row r="213">
      <c r="A213" s="68" t="s">
        <v>269</v>
      </c>
      <c r="B213" s="322">
        <v>0.85</v>
      </c>
      <c r="C213" s="278">
        <f t="shared" si="27"/>
        <v>13</v>
      </c>
      <c r="D213" s="232">
        <f t="shared" si="28"/>
        <v>2210</v>
      </c>
      <c r="E213" s="233">
        <f t="shared" si="29"/>
        <v>170</v>
      </c>
      <c r="F213" s="272"/>
      <c r="G213" s="1"/>
      <c r="H213" s="206"/>
    </row>
    <row r="214">
      <c r="A214" s="280"/>
      <c r="B214" s="281"/>
      <c r="C214" s="68"/>
      <c r="D214" s="282"/>
      <c r="E214" s="241"/>
      <c r="F214" s="272"/>
      <c r="G214" s="1"/>
      <c r="H214" s="206"/>
    </row>
    <row r="215">
      <c r="A215" s="278" t="s">
        <v>93</v>
      </c>
      <c r="B215" s="238">
        <f t="shared" ref="B215:C215" si="30">sum(B212:B214)</f>
        <v>1</v>
      </c>
      <c r="C215" s="283">
        <f t="shared" si="30"/>
        <v>15</v>
      </c>
      <c r="D215" s="323">
        <v>2600.0</v>
      </c>
      <c r="E215" s="130"/>
      <c r="F215" s="272"/>
      <c r="G215" s="1"/>
      <c r="H215" s="206"/>
    </row>
    <row r="216">
      <c r="A216" s="68"/>
      <c r="B216" s="68"/>
      <c r="C216" s="278">
        <f>COUNTA(C219:C253)</f>
        <v>15</v>
      </c>
      <c r="D216" s="1"/>
      <c r="E216" s="130"/>
      <c r="F216" s="272"/>
      <c r="G216" s="1"/>
      <c r="H216" s="206"/>
    </row>
    <row r="217">
      <c r="A217" s="68"/>
      <c r="B217" s="68"/>
      <c r="C217" s="68"/>
      <c r="D217" s="1"/>
      <c r="E217" s="130"/>
      <c r="F217" s="272"/>
      <c r="G217" s="1"/>
      <c r="H217" s="206"/>
    </row>
    <row r="218">
      <c r="A218" s="243" t="s">
        <v>273</v>
      </c>
      <c r="B218" s="243" t="s">
        <v>274</v>
      </c>
      <c r="C218" s="243" t="s">
        <v>364</v>
      </c>
      <c r="D218" s="329" t="s">
        <v>276</v>
      </c>
      <c r="E218" s="247" t="s">
        <v>277</v>
      </c>
      <c r="F218" s="316" t="s">
        <v>278</v>
      </c>
      <c r="G218" s="1"/>
      <c r="H218" s="206"/>
    </row>
    <row r="219">
      <c r="A219" s="248" t="s">
        <v>279</v>
      </c>
      <c r="B219" s="249" t="str">
        <f>IFERROR(__xludf.DUMMYFUNCTION("VLOOKUP(A219,IMPORTRANGE(""https://docs.google.com/spreadsheets/d/1oJmkDK37Qizzdaxn4KCwh1BMwdNWuHCx3AGH8BC9yu0/edit?gid=781951868#gid=781951868"",""キャラ!D:F""),3,false)"),"第三部隊隊長 亜白 ミナ")</f>
        <v>第三部隊隊長 亜白 ミナ</v>
      </c>
      <c r="C219" s="250" t="s">
        <v>268</v>
      </c>
      <c r="D219" s="251">
        <f t="shared" ref="D219:D233" si="31">vlookup(C219,$A$212:$D$214,4,false)/vlookup(C219,$A$212:$D$214,3,false)</f>
        <v>195</v>
      </c>
      <c r="E219" s="252">
        <f>IFERROR(rounddown(F219/$C$172,5),"0%")</f>
        <v>0.075</v>
      </c>
      <c r="F219" s="330">
        <v>0.15</v>
      </c>
      <c r="G219" s="1" t="s">
        <v>389</v>
      </c>
      <c r="H219" s="206"/>
    </row>
    <row r="220">
      <c r="A220" s="248" t="s">
        <v>280</v>
      </c>
      <c r="B220" s="249" t="str">
        <f>IFERROR(__xludf.DUMMYFUNCTION("VLOOKUP(A220,IMPORTRANGE(""https://docs.google.com/spreadsheets/d/1oJmkDK37Qizzdaxn4KCwh1BMwdNWuHCx3AGH8BC9yu0/edit?gid=781951868#gid=781951868"",""キャラ!D:F""),3,false)"),"姉を想う盲愛 ユーリ・ブライア")</f>
        <v>姉を想う盲愛 ユーリ・ブライア</v>
      </c>
      <c r="C220" s="250" t="s">
        <v>268</v>
      </c>
      <c r="D220" s="251">
        <f t="shared" si="31"/>
        <v>195</v>
      </c>
      <c r="E220" s="252">
        <f>IFERROR(rounddown(F219/$C$172,5),"0%")</f>
        <v>0.075</v>
      </c>
      <c r="F220" s="257"/>
      <c r="G220" s="1"/>
      <c r="H220" s="206"/>
    </row>
    <row r="221">
      <c r="A221" s="248" t="s">
        <v>284</v>
      </c>
      <c r="B221" s="249" t="str">
        <f>IFERROR(__xludf.DUMMYFUNCTION("VLOOKUP(A221,IMPORTRANGE(""https://docs.google.com/spreadsheets/d/1oJmkDK37Qizzdaxn4KCwh1BMwdNWuHCx3AGH8BC9yu0/edit?gid=781951868#gid=781951868"",""キャラ!D:F""),3,false)"),"&lt;黄昏&gt; ロイド")</f>
        <v>&lt;黄昏&gt; ロイド</v>
      </c>
      <c r="C221" s="255" t="s">
        <v>269</v>
      </c>
      <c r="D221" s="251">
        <f t="shared" si="31"/>
        <v>170</v>
      </c>
      <c r="E221" s="252">
        <f t="shared" ref="E221:E233" si="32">IFERROR(rounddown($F$221/$C$213,5),"0%")</f>
        <v>0.06538</v>
      </c>
      <c r="F221" s="330">
        <v>0.85</v>
      </c>
      <c r="G221" s="1"/>
      <c r="H221" s="206"/>
    </row>
    <row r="222">
      <c r="A222" s="248" t="s">
        <v>285</v>
      </c>
      <c r="B222" s="249" t="str">
        <f>IFERROR(__xludf.DUMMYFUNCTION("VLOOKUP(A222,IMPORTRANGE(""https://docs.google.com/spreadsheets/d/1oJmkDK37Qizzdaxn4KCwh1BMwdNWuHCx3AGH8BC9yu0/edit?gid=781951868#gid=781951868"",""キャラ!D:F""),3,false)"),"&lt;いばら姫&gt; ヨル")</f>
        <v>&lt;いばら姫&gt; ヨル</v>
      </c>
      <c r="C222" s="255" t="s">
        <v>269</v>
      </c>
      <c r="D222" s="251">
        <f t="shared" si="31"/>
        <v>170</v>
      </c>
      <c r="E222" s="252">
        <f t="shared" si="32"/>
        <v>0.06538</v>
      </c>
      <c r="F222" s="257"/>
      <c r="G222" s="1"/>
      <c r="H222" s="206"/>
    </row>
    <row r="223">
      <c r="A223" s="248" t="s">
        <v>286</v>
      </c>
      <c r="B223" s="249" t="str">
        <f>IFERROR(__xludf.DUMMYFUNCTION("VLOOKUP(A223,IMPORTRANGE(""https://docs.google.com/spreadsheets/d/1oJmkDK37Qizzdaxn4KCwh1BMwdNWuHCx3AGH8BC9yu0/edit?gid=781951868#gid=781951868"",""キャラ!D:F""),3,false)"),"わくわく アーニャ")</f>
        <v>わくわく アーニャ</v>
      </c>
      <c r="C223" s="255" t="s">
        <v>269</v>
      </c>
      <c r="D223" s="251">
        <f t="shared" si="31"/>
        <v>170</v>
      </c>
      <c r="E223" s="252">
        <f t="shared" si="32"/>
        <v>0.06538</v>
      </c>
      <c r="F223" s="257"/>
      <c r="G223" s="1"/>
      <c r="H223" s="206"/>
    </row>
    <row r="224">
      <c r="A224" s="248" t="s">
        <v>287</v>
      </c>
      <c r="B224" s="249" t="str">
        <f>IFERROR(__xludf.DUMMYFUNCTION("VLOOKUP(A224,IMPORTRANGE(""https://docs.google.com/spreadsheets/d/1oJmkDK37Qizzdaxn4KCwh1BMwdNWuHCx3AGH8BC9yu0/edit?gid=781951868#gid=781951868"",""キャラ!D:F""),3,false)"),"ターボババアの霊力 オカルン")</f>
        <v>ターボババアの霊力 オカルン</v>
      </c>
      <c r="C224" s="255" t="s">
        <v>269</v>
      </c>
      <c r="D224" s="251">
        <f t="shared" si="31"/>
        <v>170</v>
      </c>
      <c r="E224" s="252">
        <f t="shared" si="32"/>
        <v>0.06538</v>
      </c>
      <c r="F224" s="257"/>
      <c r="G224" s="1"/>
      <c r="H224" s="206"/>
    </row>
    <row r="225">
      <c r="A225" s="248" t="s">
        <v>288</v>
      </c>
      <c r="B225" s="249" t="str">
        <f>IFERROR(__xludf.DUMMYFUNCTION("VLOOKUP(A225,IMPORTRANGE(""https://docs.google.com/spreadsheets/d/1oJmkDK37Qizzdaxn4KCwh1BMwdNWuHCx3AGH8BC9yu0/edit?gid=781951868#gid=781951868"",""キャラ!D:F""),3,false)"),"囚われの王女 姫様")</f>
        <v>囚われの王女 姫様</v>
      </c>
      <c r="C225" s="255" t="s">
        <v>269</v>
      </c>
      <c r="D225" s="251">
        <f t="shared" si="31"/>
        <v>170</v>
      </c>
      <c r="E225" s="252">
        <f t="shared" si="32"/>
        <v>0.06538</v>
      </c>
      <c r="F225" s="257"/>
      <c r="G225" s="1"/>
      <c r="H225" s="206"/>
    </row>
    <row r="226">
      <c r="A226" s="248" t="s">
        <v>289</v>
      </c>
      <c r="B226" s="249" t="str">
        <f>IFERROR(__xludf.DUMMYFUNCTION("VLOOKUP(A226,IMPORTRANGE(""https://docs.google.com/spreadsheets/d/1oJmkDK37Qizzdaxn4KCwh1BMwdNWuHCx3AGH8BC9yu0/edit?gid=781951868#gid=781951868"",""キャラ!D:F""),3,false)"),"悪魔が恐れる悪魔 チェンソーマン")</f>
        <v>悪魔が恐れる悪魔 チェンソーマン</v>
      </c>
      <c r="C226" s="255" t="s">
        <v>269</v>
      </c>
      <c r="D226" s="251">
        <f t="shared" si="31"/>
        <v>170</v>
      </c>
      <c r="E226" s="252">
        <f t="shared" si="32"/>
        <v>0.06538</v>
      </c>
      <c r="F226" s="257"/>
      <c r="G226" s="1"/>
      <c r="H226" s="206"/>
    </row>
    <row r="227">
      <c r="A227" s="248" t="s">
        <v>290</v>
      </c>
      <c r="B227" s="249" t="str">
        <f>IFERROR(__xludf.DUMMYFUNCTION("VLOOKUP(A227,IMPORTRANGE(""https://docs.google.com/spreadsheets/d/1oJmkDK37Qizzdaxn4KCwh1BMwdNWuHCx3AGH8BC9yu0/edit?gid=781951868#gid=781951868"",""キャラ!D:F""),3,false)"),"隠された英雄の姿 怪獣８号")</f>
        <v>隠された英雄の姿 怪獣８号</v>
      </c>
      <c r="C227" s="255" t="s">
        <v>269</v>
      </c>
      <c r="D227" s="251">
        <f t="shared" si="31"/>
        <v>170</v>
      </c>
      <c r="E227" s="252">
        <f t="shared" si="32"/>
        <v>0.06538</v>
      </c>
      <c r="F227" s="257"/>
      <c r="G227" s="1"/>
      <c r="H227" s="206"/>
    </row>
    <row r="228">
      <c r="A228" s="248" t="s">
        <v>291</v>
      </c>
      <c r="B228" s="249" t="str">
        <f>IFERROR(__xludf.DUMMYFUNCTION("VLOOKUP(A228,IMPORTRANGE(""https://docs.google.com/spreadsheets/d/1oJmkDK37Qizzdaxn4KCwh1BMwdNWuHCx3AGH8BC9yu0/edit?gid=781951868#gid=781951868"",""キャラ!D:F""),3,false)"),"リリエルに捧ぐ愛 天乃 リリサ")</f>
        <v>リリエルに捧ぐ愛 天乃 リリサ</v>
      </c>
      <c r="C228" s="255" t="s">
        <v>269</v>
      </c>
      <c r="D228" s="251">
        <f t="shared" si="31"/>
        <v>170</v>
      </c>
      <c r="E228" s="252">
        <f t="shared" si="32"/>
        <v>0.06538</v>
      </c>
      <c r="F228" s="257"/>
      <c r="G228" s="1"/>
      <c r="H228" s="206"/>
    </row>
    <row r="229">
      <c r="A229" s="248" t="s">
        <v>292</v>
      </c>
      <c r="B229" s="249" t="str">
        <f>IFERROR(__xludf.DUMMYFUNCTION("VLOOKUP(A229,IMPORTRANGE(""https://docs.google.com/spreadsheets/d/1oJmkDK37Qizzdaxn4KCwh1BMwdNWuHCx3AGH8BC9yu0/edit?gid=781951868#gid=781951868"",""キャラ!D:F""),3,false)"),"コスプレに託す乙女心 橘 美花莉")</f>
        <v>コスプレに託す乙女心 橘 美花莉</v>
      </c>
      <c r="C229" s="255" t="s">
        <v>269</v>
      </c>
      <c r="D229" s="251">
        <f t="shared" si="31"/>
        <v>170</v>
      </c>
      <c r="E229" s="252">
        <f t="shared" si="32"/>
        <v>0.06538</v>
      </c>
      <c r="F229" s="257"/>
      <c r="G229" s="1"/>
      <c r="H229" s="206"/>
    </row>
    <row r="230">
      <c r="A230" s="248" t="s">
        <v>293</v>
      </c>
      <c r="B230" s="249" t="str">
        <f>IFERROR(__xludf.DUMMYFUNCTION("VLOOKUP(A230,IMPORTRANGE(""https://docs.google.com/spreadsheets/d/1oJmkDK37Qizzdaxn4KCwh1BMwdNWuHCx3AGH8BC9yu0/edit?gid=781951868#gid=781951868"",""キャラ!D:F""),3,false)"),"誇り高き魔都の剣姫 羽前 京香")</f>
        <v>誇り高き魔都の剣姫 羽前 京香</v>
      </c>
      <c r="C230" s="255" t="s">
        <v>269</v>
      </c>
      <c r="D230" s="251">
        <f t="shared" si="31"/>
        <v>170</v>
      </c>
      <c r="E230" s="252">
        <f t="shared" si="32"/>
        <v>0.06538</v>
      </c>
      <c r="F230" s="257"/>
      <c r="G230" s="1"/>
      <c r="H230" s="206"/>
    </row>
    <row r="231">
      <c r="A231" s="248" t="s">
        <v>294</v>
      </c>
      <c r="B231" s="249" t="str">
        <f>IFERROR(__xludf.DUMMYFUNCTION("VLOOKUP(A231,IMPORTRANGE(""https://docs.google.com/spreadsheets/d/1oJmkDK37Qizzdaxn4KCwh1BMwdNWuHCx3AGH8BC9yu0/edit?gid=781951868#gid=781951868"",""キャラ!D:F""),3,false)"),"がらんの画眉丸")</f>
        <v>がらんの画眉丸</v>
      </c>
      <c r="C231" s="255" t="s">
        <v>269</v>
      </c>
      <c r="D231" s="251">
        <f t="shared" si="31"/>
        <v>170</v>
      </c>
      <c r="E231" s="252">
        <f t="shared" si="32"/>
        <v>0.06538</v>
      </c>
      <c r="F231" s="257"/>
      <c r="G231" s="1"/>
      <c r="H231" s="206"/>
    </row>
    <row r="232">
      <c r="A232" s="248" t="s">
        <v>295</v>
      </c>
      <c r="B232" s="249" t="str">
        <f>IFERROR(__xludf.DUMMYFUNCTION("VLOOKUP(A232,IMPORTRANGE(""https://docs.google.com/spreadsheets/d/1oJmkDK37Qizzdaxn4KCwh1BMwdNWuHCx3AGH8BC9yu0/edit?gid=781951868#gid=781951868"",""キャラ!D:F""),3,false)"),"新人魔法少女 桜木 カナ")</f>
        <v>新人魔法少女 桜木 カナ</v>
      </c>
      <c r="C232" s="255" t="s">
        <v>269</v>
      </c>
      <c r="D232" s="251">
        <f t="shared" si="31"/>
        <v>170</v>
      </c>
      <c r="E232" s="252">
        <f t="shared" si="32"/>
        <v>0.06538</v>
      </c>
      <c r="F232" s="257"/>
      <c r="G232" s="1"/>
      <c r="H232" s="206"/>
    </row>
    <row r="233">
      <c r="A233" s="248" t="s">
        <v>296</v>
      </c>
      <c r="B233" s="249" t="str">
        <f>IFERROR(__xludf.DUMMYFUNCTION("VLOOKUP(A233,IMPORTRANGE(""https://docs.google.com/spreadsheets/d/1oJmkDK37Qizzdaxn4KCwh1BMwdNWuHCx3AGH8BC9yu0/edit?gid=781951868#gid=781951868"",""キャラ!D:F""),3,false)"),"影のウシオ 小舟 潮")</f>
        <v>影のウシオ 小舟 潮</v>
      </c>
      <c r="C233" s="255" t="s">
        <v>269</v>
      </c>
      <c r="D233" s="251">
        <f t="shared" si="31"/>
        <v>170</v>
      </c>
      <c r="E233" s="252">
        <f t="shared" si="32"/>
        <v>0.06538</v>
      </c>
      <c r="F233" s="264"/>
      <c r="G233" s="1"/>
      <c r="H233" s="206"/>
    </row>
    <row r="234">
      <c r="A234" s="331"/>
      <c r="B234" s="287"/>
      <c r="C234" s="332"/>
      <c r="D234" s="289"/>
      <c r="E234" s="270">
        <f t="shared" ref="E234:F234" si="33">sum(E219:E233)</f>
        <v>0.99994</v>
      </c>
      <c r="F234" s="271">
        <f t="shared" si="33"/>
        <v>1</v>
      </c>
      <c r="G234" s="1"/>
      <c r="H234" s="1"/>
    </row>
    <row r="235">
      <c r="A235" s="331"/>
      <c r="B235" s="287"/>
      <c r="C235" s="332"/>
      <c r="D235" s="289"/>
      <c r="E235" s="290"/>
      <c r="F235" s="333"/>
      <c r="G235" s="1"/>
      <c r="H235" s="1"/>
    </row>
    <row r="236">
      <c r="A236" s="331"/>
      <c r="B236" s="359"/>
      <c r="C236" s="286"/>
      <c r="D236" s="231"/>
      <c r="E236" s="360"/>
      <c r="F236" s="333"/>
      <c r="G236" s="1"/>
      <c r="H236" s="1"/>
    </row>
    <row r="237">
      <c r="A237" s="331"/>
      <c r="B237" s="359"/>
      <c r="C237" s="286"/>
      <c r="D237" s="231"/>
      <c r="E237" s="360"/>
      <c r="F237" s="333"/>
      <c r="G237" s="1"/>
      <c r="H237" s="1"/>
    </row>
    <row r="238">
      <c r="A238" s="331"/>
      <c r="B238" s="359"/>
      <c r="C238" s="286"/>
      <c r="D238" s="231"/>
      <c r="E238" s="360"/>
      <c r="F238" s="333"/>
      <c r="G238" s="1"/>
      <c r="H238" s="1"/>
    </row>
    <row r="239">
      <c r="A239" s="331"/>
      <c r="B239" s="359"/>
      <c r="C239" s="286"/>
      <c r="D239" s="231"/>
      <c r="E239" s="360"/>
      <c r="F239" s="333"/>
      <c r="G239" s="1"/>
      <c r="H239" s="1"/>
    </row>
    <row r="240">
      <c r="A240" s="331"/>
      <c r="B240" s="359"/>
      <c r="C240" s="286"/>
      <c r="D240" s="231"/>
      <c r="E240" s="360"/>
      <c r="F240" s="333"/>
      <c r="G240" s="1"/>
      <c r="H240" s="1"/>
    </row>
    <row r="241">
      <c r="A241" s="331"/>
      <c r="B241" s="359"/>
      <c r="C241" s="286"/>
      <c r="D241" s="231"/>
      <c r="E241" s="360"/>
      <c r="F241" s="333"/>
      <c r="G241" s="1"/>
      <c r="H241" s="1"/>
    </row>
    <row r="242">
      <c r="A242" s="331"/>
      <c r="B242" s="359"/>
      <c r="C242" s="286"/>
      <c r="D242" s="231"/>
      <c r="E242" s="360"/>
      <c r="F242" s="333"/>
      <c r="G242" s="1"/>
      <c r="H242" s="1"/>
    </row>
    <row r="243">
      <c r="A243" s="331"/>
      <c r="B243" s="359"/>
      <c r="C243" s="286"/>
      <c r="D243" s="231"/>
      <c r="E243" s="360"/>
      <c r="F243" s="333"/>
      <c r="G243" s="1"/>
      <c r="H243" s="1"/>
    </row>
    <row r="244">
      <c r="A244" s="331"/>
      <c r="B244" s="359"/>
      <c r="C244" s="286"/>
      <c r="D244" s="231"/>
      <c r="E244" s="360"/>
      <c r="F244" s="333"/>
      <c r="G244" s="1"/>
      <c r="H244" s="1"/>
    </row>
  </sheetData>
  <mergeCells count="16">
    <mergeCell ref="A30:A34"/>
    <mergeCell ref="G42:H49"/>
    <mergeCell ref="F72:F73"/>
    <mergeCell ref="F74:F86"/>
    <mergeCell ref="F88:F96"/>
    <mergeCell ref="F97:F106"/>
    <mergeCell ref="F107:F115"/>
    <mergeCell ref="F219:F220"/>
    <mergeCell ref="F221:F233"/>
    <mergeCell ref="F131:F132"/>
    <mergeCell ref="F133:F145"/>
    <mergeCell ref="F147:F155"/>
    <mergeCell ref="F156:F165"/>
    <mergeCell ref="F181:F182"/>
    <mergeCell ref="F183:F195"/>
    <mergeCell ref="F197:F205"/>
  </mergeCells>
  <conditionalFormatting sqref="B9:I9">
    <cfRule type="expression" dxfId="0" priority="1">
      <formula>$B8="無"</formula>
    </cfRule>
  </conditionalFormatting>
  <conditionalFormatting sqref="B17:I18">
    <cfRule type="expression" dxfId="0" priority="2">
      <formula>$B16="無"</formula>
    </cfRule>
  </conditionalFormatting>
  <conditionalFormatting sqref="B20:I20">
    <cfRule type="expression" dxfId="0" priority="3">
      <formula>$B19="無"</formula>
    </cfRule>
  </conditionalFormatting>
  <conditionalFormatting sqref="B24:I24">
    <cfRule type="expression" dxfId="1" priority="4">
      <formula>$B23="無"</formula>
    </cfRule>
  </conditionalFormatting>
  <conditionalFormatting sqref="B26:I26">
    <cfRule type="expression" dxfId="0" priority="5">
      <formula>$B25="無"</formula>
    </cfRule>
  </conditionalFormatting>
  <conditionalFormatting sqref="B5 B10:B11 C10:I15">
    <cfRule type="expression" dxfId="1" priority="6">
      <formula>$B3="無"</formula>
    </cfRule>
  </conditionalFormatting>
  <conditionalFormatting sqref="C13:I15">
    <cfRule type="expression" dxfId="0" priority="7">
      <formula>#REF!="無"</formula>
    </cfRule>
  </conditionalFormatting>
  <dataValidations>
    <dataValidation type="list" allowBlank="1" showErrorMessage="1" sqref="H2">
      <formula1>"未承認,承認済,社内承認済"</formula1>
    </dataValidation>
    <dataValidation type="list" allowBlank="1" showErrorMessage="1" sqref="B6">
      <formula1>"恒常ガシャ,ピックアップガシャ,フェス限定ガシャ,有償限定ガシャ,チュートリアルガシャ,チケットガシャ,ステップアップガシャ"</formula1>
    </dataValidation>
    <dataValidation type="list" allowBlank="1" showErrorMessage="1" sqref="B8 B12:B13 B16 B19 B22:B23 B25">
      <formula1>"有,無"</formula1>
    </dataValidation>
    <dataValidation type="list" allowBlank="1" showErrorMessage="1" sqref="B15">
      <formula1>"行う,行わない"</formula1>
    </dataValidation>
    <dataValidation type="list" allowBlank="1" showErrorMessage="1" sqref="B21">
      <formula1>"可,否"</formula1>
    </dataValidation>
  </dataValidations>
  <hyperlinks>
    <hyperlink r:id="rId1" location="gid=1243607662&amp;range=F:F" ref="F14"/>
    <hyperlink r:id="rId2" location="gid=920186449&amp;range=F:F" ref="E42"/>
    <hyperlink r:id="rId3" location="gid=158837977" ref="E44"/>
    <hyperlink r:id="rId4" location="gid=920186449&amp;range=H:H" ref="E49"/>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0"/>
    <col customWidth="1" min="2" max="2" width="22.7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151"/>
      <c r="B2" s="156"/>
      <c r="C2" s="157"/>
      <c r="D2" s="157"/>
      <c r="E2" s="157"/>
      <c r="F2" s="158" t="s">
        <v>41</v>
      </c>
      <c r="G2" s="159"/>
      <c r="H2" s="14" t="s">
        <v>42</v>
      </c>
      <c r="I2" s="160"/>
    </row>
    <row r="3">
      <c r="A3" s="161" t="s">
        <v>181</v>
      </c>
      <c r="B3" s="162"/>
      <c r="C3" s="162"/>
      <c r="D3" s="162"/>
      <c r="E3" s="162"/>
      <c r="F3" s="162"/>
      <c r="G3" s="162"/>
      <c r="H3" s="163"/>
      <c r="I3" s="164" t="s">
        <v>182</v>
      </c>
    </row>
    <row r="4">
      <c r="A4" s="165" t="s">
        <v>183</v>
      </c>
      <c r="B4" s="166" t="s">
        <v>392</v>
      </c>
      <c r="C4" s="167"/>
      <c r="D4" s="167"/>
      <c r="E4" s="167"/>
      <c r="F4" s="167"/>
      <c r="G4" s="167"/>
      <c r="H4" s="168"/>
      <c r="I4" s="10" t="s">
        <v>185</v>
      </c>
    </row>
    <row r="5">
      <c r="A5" s="169" t="s">
        <v>186</v>
      </c>
      <c r="B5" s="170"/>
      <c r="C5" s="171"/>
      <c r="D5" s="171"/>
      <c r="E5" s="172"/>
      <c r="F5" s="171"/>
      <c r="G5" s="171"/>
      <c r="H5" s="173"/>
    </row>
    <row r="6">
      <c r="A6" s="165" t="s">
        <v>188</v>
      </c>
      <c r="B6" s="166" t="s">
        <v>420</v>
      </c>
      <c r="C6" s="167"/>
      <c r="D6" s="167"/>
      <c r="E6" s="167"/>
      <c r="F6" s="167"/>
      <c r="G6" s="167"/>
      <c r="H6" s="168"/>
    </row>
    <row r="7">
      <c r="A7" s="165" t="s">
        <v>190</v>
      </c>
      <c r="B7" s="174">
        <v>46097.5</v>
      </c>
      <c r="C7" s="175" t="s">
        <v>191</v>
      </c>
      <c r="D7" s="174">
        <v>46125.45832175926</v>
      </c>
      <c r="E7" s="167"/>
      <c r="F7" s="167"/>
      <c r="G7" s="167"/>
      <c r="H7" s="168"/>
      <c r="I7" s="10" t="s">
        <v>185</v>
      </c>
    </row>
    <row r="8">
      <c r="A8" s="165" t="s">
        <v>192</v>
      </c>
      <c r="B8" s="175" t="s">
        <v>193</v>
      </c>
      <c r="C8" s="166" t="s">
        <v>194</v>
      </c>
      <c r="D8" s="167"/>
      <c r="E8" s="167"/>
      <c r="F8" s="167"/>
      <c r="G8" s="167"/>
      <c r="H8" s="168"/>
    </row>
    <row r="9">
      <c r="A9" s="165" t="s">
        <v>195</v>
      </c>
      <c r="B9" s="166" t="s">
        <v>450</v>
      </c>
      <c r="C9" s="167"/>
      <c r="D9" s="167"/>
      <c r="E9" s="167"/>
      <c r="F9" s="167"/>
      <c r="G9" s="167"/>
      <c r="H9" s="168"/>
      <c r="I9" s="10" t="s">
        <v>21</v>
      </c>
    </row>
    <row r="10">
      <c r="A10" s="165" t="s">
        <v>196</v>
      </c>
      <c r="B10" s="170"/>
      <c r="C10" s="167"/>
      <c r="D10" s="167"/>
      <c r="E10" s="167"/>
      <c r="F10" s="167"/>
      <c r="G10" s="167"/>
      <c r="H10" s="168"/>
      <c r="I10" s="10" t="s">
        <v>21</v>
      </c>
    </row>
    <row r="11">
      <c r="A11" s="176" t="s">
        <v>198</v>
      </c>
      <c r="B11" s="177" t="s">
        <v>199</v>
      </c>
      <c r="C11" s="178"/>
      <c r="D11" s="178"/>
      <c r="E11" s="178"/>
      <c r="F11" s="178"/>
      <c r="G11" s="178"/>
      <c r="H11" s="179"/>
      <c r="I11" s="1"/>
    </row>
    <row r="12">
      <c r="A12" s="176" t="s">
        <v>200</v>
      </c>
      <c r="B12" s="175" t="s">
        <v>156</v>
      </c>
      <c r="C12" s="178"/>
      <c r="D12" s="178"/>
      <c r="E12" s="178"/>
      <c r="F12" s="178"/>
      <c r="G12" s="178"/>
      <c r="H12" s="179"/>
      <c r="I12" s="1"/>
    </row>
    <row r="13">
      <c r="A13" s="176" t="s">
        <v>201</v>
      </c>
      <c r="B13" s="175" t="s">
        <v>156</v>
      </c>
      <c r="C13" s="180"/>
      <c r="D13" s="178"/>
      <c r="E13" s="178"/>
      <c r="F13" s="178"/>
      <c r="G13" s="178"/>
      <c r="H13" s="179"/>
      <c r="I13" s="1"/>
    </row>
    <row r="14">
      <c r="A14" s="181" t="s">
        <v>202</v>
      </c>
      <c r="B14" s="182"/>
      <c r="C14" s="183" t="s">
        <v>203</v>
      </c>
      <c r="D14" s="184" t="str">
        <f>B14/60&amp;"時間"</f>
        <v>0時間</v>
      </c>
      <c r="E14" s="185" t="s">
        <v>204</v>
      </c>
      <c r="F14" s="186" t="s">
        <v>451</v>
      </c>
      <c r="G14" s="185"/>
      <c r="H14" s="187"/>
      <c r="I14" s="188"/>
    </row>
    <row r="15">
      <c r="A15" s="189" t="s">
        <v>206</v>
      </c>
      <c r="B15" s="190" t="s">
        <v>207</v>
      </c>
      <c r="C15" s="191"/>
      <c r="D15" s="185"/>
      <c r="E15" s="185"/>
      <c r="F15" s="185"/>
      <c r="G15" s="185"/>
      <c r="H15" s="187"/>
      <c r="I15" s="188"/>
    </row>
    <row r="16">
      <c r="A16" s="335" t="s">
        <v>424</v>
      </c>
      <c r="B16" s="175" t="s">
        <v>193</v>
      </c>
      <c r="C16" s="167"/>
      <c r="D16" s="167"/>
      <c r="E16" s="167"/>
      <c r="F16" s="167"/>
      <c r="G16" s="167"/>
      <c r="H16" s="168"/>
    </row>
    <row r="17">
      <c r="A17" s="335" t="s">
        <v>425</v>
      </c>
      <c r="B17" s="166" t="s">
        <v>49</v>
      </c>
      <c r="C17" s="166" t="s">
        <v>210</v>
      </c>
      <c r="D17" s="167"/>
      <c r="E17" s="167"/>
      <c r="F17" s="167"/>
      <c r="G17" s="167"/>
      <c r="H17" s="168"/>
    </row>
    <row r="18">
      <c r="A18" s="335" t="s">
        <v>426</v>
      </c>
      <c r="B18" s="166" t="s">
        <v>411</v>
      </c>
      <c r="C18" s="166"/>
      <c r="D18" s="167"/>
      <c r="E18" s="167"/>
      <c r="F18" s="167"/>
      <c r="G18" s="167"/>
      <c r="H18" s="168"/>
    </row>
    <row r="19">
      <c r="A19" s="165" t="s">
        <v>211</v>
      </c>
      <c r="B19" s="175" t="s">
        <v>193</v>
      </c>
      <c r="C19" s="167"/>
      <c r="D19" s="167"/>
      <c r="E19" s="167"/>
      <c r="F19" s="167"/>
      <c r="G19" s="167"/>
      <c r="H19" s="168"/>
    </row>
    <row r="20">
      <c r="A20" s="165" t="s">
        <v>212</v>
      </c>
      <c r="B20" s="166">
        <v>10.0</v>
      </c>
      <c r="C20" s="166" t="s">
        <v>213</v>
      </c>
      <c r="D20" s="167"/>
      <c r="E20" s="167"/>
      <c r="F20" s="167"/>
      <c r="G20" s="167"/>
      <c r="H20" s="168"/>
    </row>
    <row r="21">
      <c r="A21" s="165" t="s">
        <v>214</v>
      </c>
      <c r="B21" s="175" t="s">
        <v>215</v>
      </c>
      <c r="C21" s="166" t="s">
        <v>216</v>
      </c>
      <c r="D21" s="167"/>
      <c r="E21" s="167"/>
      <c r="F21" s="167"/>
      <c r="G21" s="167"/>
      <c r="H21" s="168"/>
    </row>
    <row r="22">
      <c r="A22" s="165" t="s">
        <v>217</v>
      </c>
      <c r="B22" s="175" t="s">
        <v>193</v>
      </c>
      <c r="C22" s="167"/>
      <c r="D22" s="167"/>
      <c r="E22" s="167"/>
      <c r="F22" s="167"/>
      <c r="G22" s="167"/>
      <c r="H22" s="168"/>
    </row>
    <row r="23">
      <c r="A23" s="165" t="s">
        <v>222</v>
      </c>
      <c r="B23" s="175" t="s">
        <v>193</v>
      </c>
      <c r="C23" s="167"/>
      <c r="D23" s="167"/>
      <c r="E23" s="167"/>
      <c r="F23" s="167"/>
      <c r="G23" s="167"/>
      <c r="H23" s="168"/>
    </row>
    <row r="24">
      <c r="A24" s="192" t="s">
        <v>223</v>
      </c>
      <c r="B24" s="195">
        <v>1500.0</v>
      </c>
      <c r="C24" s="194" t="s">
        <v>220</v>
      </c>
      <c r="D24" s="178" t="s">
        <v>224</v>
      </c>
      <c r="E24" s="178"/>
      <c r="F24" s="178"/>
      <c r="G24" s="178"/>
      <c r="H24" s="179"/>
      <c r="I24" s="1"/>
    </row>
    <row r="25">
      <c r="A25" s="165" t="s">
        <v>225</v>
      </c>
      <c r="B25" s="175" t="s">
        <v>193</v>
      </c>
      <c r="C25" s="167"/>
      <c r="D25" s="167"/>
      <c r="E25" s="167"/>
      <c r="F25" s="167"/>
      <c r="G25" s="167"/>
      <c r="H25" s="168"/>
    </row>
    <row r="26">
      <c r="A26" s="165" t="s">
        <v>226</v>
      </c>
      <c r="B26" s="166">
        <v>10.0</v>
      </c>
      <c r="C26" s="175" t="s">
        <v>227</v>
      </c>
      <c r="D26" s="167"/>
      <c r="E26" s="166" t="s">
        <v>228</v>
      </c>
      <c r="F26" s="166" t="s">
        <v>229</v>
      </c>
      <c r="G26" s="167"/>
      <c r="H26" s="168"/>
    </row>
    <row r="27">
      <c r="A27" s="165" t="s">
        <v>230</v>
      </c>
      <c r="B27" s="166"/>
      <c r="C27" s="167"/>
      <c r="D27" s="167"/>
      <c r="E27" s="167"/>
      <c r="F27" s="167"/>
      <c r="G27" s="167"/>
      <c r="H27" s="168"/>
      <c r="I27" s="10" t="s">
        <v>185</v>
      </c>
    </row>
    <row r="28">
      <c r="A28" s="197" t="s">
        <v>232</v>
      </c>
      <c r="B28" s="166"/>
      <c r="C28" s="166"/>
      <c r="D28" s="167"/>
      <c r="E28" s="167"/>
      <c r="F28" s="167"/>
      <c r="G28" s="167"/>
      <c r="H28" s="168"/>
      <c r="I28" s="10" t="s">
        <v>185</v>
      </c>
    </row>
    <row r="29">
      <c r="A29" s="197" t="s">
        <v>234</v>
      </c>
      <c r="B29" s="166"/>
      <c r="C29" s="166"/>
      <c r="D29" s="167"/>
      <c r="E29" s="167"/>
      <c r="F29" s="167"/>
      <c r="G29" s="167"/>
      <c r="H29" s="168"/>
      <c r="I29" s="10" t="s">
        <v>185</v>
      </c>
    </row>
    <row r="30">
      <c r="A30" s="317" t="s">
        <v>236</v>
      </c>
      <c r="B30" s="194" t="s">
        <v>237</v>
      </c>
      <c r="C30" s="194" t="s">
        <v>238</v>
      </c>
      <c r="D30" s="167"/>
      <c r="E30" s="167"/>
      <c r="F30" s="167"/>
      <c r="G30" s="167"/>
      <c r="H30" s="168"/>
    </row>
    <row r="31">
      <c r="A31" s="199"/>
      <c r="B31" s="194" t="s">
        <v>239</v>
      </c>
      <c r="C31" s="194"/>
      <c r="D31" s="167"/>
      <c r="E31" s="167"/>
      <c r="F31" s="167"/>
      <c r="G31" s="167"/>
      <c r="H31" s="168"/>
    </row>
    <row r="32">
      <c r="A32" s="199"/>
      <c r="B32" s="194" t="s">
        <v>240</v>
      </c>
      <c r="C32" s="194"/>
      <c r="D32" s="167"/>
      <c r="E32" s="167"/>
      <c r="F32" s="167"/>
      <c r="G32" s="167"/>
      <c r="H32" s="168"/>
    </row>
    <row r="33">
      <c r="A33" s="199"/>
      <c r="B33" s="194" t="s">
        <v>241</v>
      </c>
      <c r="C33" s="194"/>
      <c r="D33" s="167"/>
      <c r="E33" s="167"/>
      <c r="F33" s="167"/>
      <c r="G33" s="167"/>
      <c r="H33" s="168"/>
    </row>
    <row r="34">
      <c r="A34" s="199"/>
      <c r="B34" s="194" t="s">
        <v>242</v>
      </c>
      <c r="C34" s="194"/>
      <c r="D34" s="167"/>
      <c r="E34" s="167"/>
      <c r="F34" s="167"/>
      <c r="G34" s="167"/>
      <c r="H34" s="168"/>
    </row>
    <row r="35">
      <c r="A35" s="197" t="s">
        <v>22</v>
      </c>
      <c r="B35" s="166"/>
      <c r="C35" s="167"/>
      <c r="D35" s="167"/>
      <c r="E35" s="167"/>
      <c r="F35" s="167"/>
      <c r="G35" s="167"/>
      <c r="H35" s="168"/>
    </row>
    <row r="36">
      <c r="A36" s="201"/>
      <c r="B36" s="166"/>
      <c r="C36" s="167"/>
      <c r="D36" s="167"/>
      <c r="E36" s="167"/>
      <c r="F36" s="167"/>
      <c r="G36" s="167"/>
      <c r="H36" s="168"/>
    </row>
    <row r="37">
      <c r="A37" s="201"/>
      <c r="B37" s="167"/>
      <c r="C37" s="167"/>
      <c r="D37" s="167"/>
      <c r="E37" s="167"/>
      <c r="F37" s="167"/>
      <c r="G37" s="167"/>
      <c r="H37" s="168"/>
    </row>
    <row r="38">
      <c r="A38" s="202" t="s">
        <v>245</v>
      </c>
      <c r="B38" s="204"/>
      <c r="C38" s="204"/>
      <c r="D38" s="204"/>
      <c r="E38" s="204"/>
      <c r="F38" s="204"/>
      <c r="G38" s="204"/>
      <c r="H38" s="205"/>
      <c r="I38" s="1"/>
    </row>
    <row r="39">
      <c r="A39" s="13" t="s">
        <v>246</v>
      </c>
      <c r="B39" s="7" t="s">
        <v>432</v>
      </c>
      <c r="C39" s="1"/>
      <c r="D39" s="1"/>
      <c r="E39" s="1"/>
      <c r="F39" s="1"/>
      <c r="G39" s="1"/>
      <c r="H39" s="206"/>
      <c r="I39" s="1"/>
    </row>
    <row r="40">
      <c r="A40" s="13" t="s">
        <v>359</v>
      </c>
      <c r="B40" s="208" t="s">
        <v>434</v>
      </c>
      <c r="C40" s="178"/>
      <c r="D40" s="178"/>
      <c r="E40" s="178"/>
      <c r="F40" s="178"/>
      <c r="G40" s="178"/>
      <c r="H40" s="179"/>
      <c r="I40" s="1"/>
    </row>
    <row r="41">
      <c r="A41" s="211" t="s">
        <v>250</v>
      </c>
      <c r="B41" s="212"/>
      <c r="C41" s="212"/>
      <c r="D41" s="212"/>
      <c r="E41" s="212"/>
      <c r="F41" s="212"/>
      <c r="G41" s="212"/>
      <c r="H41" s="213"/>
    </row>
    <row r="42" ht="78.75" customHeight="1">
      <c r="A42" s="214" t="s">
        <v>251</v>
      </c>
      <c r="B42" s="215" t="s">
        <v>432</v>
      </c>
      <c r="C42" s="216"/>
      <c r="D42" s="10" t="s">
        <v>433</v>
      </c>
      <c r="E42" s="217" t="s">
        <v>253</v>
      </c>
      <c r="F42" s="218"/>
      <c r="G42" s="218"/>
      <c r="I42" s="219" t="s">
        <v>21</v>
      </c>
    </row>
    <row r="43" ht="18.75" customHeight="1">
      <c r="A43" s="214" t="s">
        <v>254</v>
      </c>
      <c r="B43" s="220" t="str">
        <f>IFERROR(__xludf.DUMMYFUNCTION("VLOOKUP(C43,IMPORTRANGE(""https://docs.google.com/spreadsheets/d/1oJmkDK37Qizzdaxn4KCwh1BMwdNWuHCx3AGH8BC9yu0/edit?gid=781951868#gid=781951868"",""キャラ!D:F""),3,false)"),"第三部隊隊長 亜白 ミナ")</f>
        <v>第三部隊隊長 亜白 ミナ</v>
      </c>
      <c r="C43" s="224" t="s">
        <v>279</v>
      </c>
      <c r="D43" s="222"/>
      <c r="E43" s="218"/>
      <c r="F43" s="218"/>
      <c r="I43" s="219" t="s">
        <v>21</v>
      </c>
    </row>
    <row r="44" ht="78.75" customHeight="1">
      <c r="A44" s="214" t="s">
        <v>256</v>
      </c>
      <c r="B44" s="318" t="s">
        <v>434</v>
      </c>
      <c r="C44" s="224"/>
      <c r="E44" s="217" t="s">
        <v>258</v>
      </c>
      <c r="F44" s="218"/>
      <c r="I44" s="219" t="s">
        <v>259</v>
      </c>
    </row>
    <row r="45">
      <c r="A45" s="214" t="s">
        <v>384</v>
      </c>
      <c r="B45" s="220" t="str">
        <f>IFERROR(__xludf.DUMMYFUNCTION("VLOOKUP(C45,IMPORTRANGE(""https://docs.google.com/spreadsheets/d/1oJmkDK37Qizzdaxn4KCwh1BMwdNWuHCx3AGH8BC9yu0/edit?gid=781951868#gid=781951868"",""キャラ!D:F""),3,false)"),"姉を想う盲愛 ユーリ・ブライア")</f>
        <v>姉を想う盲愛 ユーリ・ブライア</v>
      </c>
      <c r="C45" s="214" t="s">
        <v>280</v>
      </c>
      <c r="E45" s="319"/>
      <c r="F45" s="218"/>
      <c r="I45" s="219" t="s">
        <v>21</v>
      </c>
    </row>
    <row r="46">
      <c r="A46" s="214" t="s">
        <v>386</v>
      </c>
      <c r="B46" s="318" t="s">
        <v>435</v>
      </c>
      <c r="C46" s="320"/>
      <c r="E46" s="319"/>
      <c r="F46" s="218"/>
      <c r="I46" s="219" t="s">
        <v>259</v>
      </c>
    </row>
    <row r="47">
      <c r="A47" s="214" t="s">
        <v>384</v>
      </c>
      <c r="B47" s="220" t="str">
        <f>IFERROR(__xludf.DUMMYFUNCTION("VLOOKUP(C47,IMPORTRANGE(""https://docs.google.com/spreadsheets/d/1oJmkDK37Qizzdaxn4KCwh1BMwdNWuHCx3AGH8BC9yu0/edit?gid=781951868#gid=781951868"",""キャラ!D:F""),3,false)"),"保科 宗四郎")</f>
        <v>保科 宗四郎</v>
      </c>
      <c r="C47" s="214" t="s">
        <v>297</v>
      </c>
      <c r="E47" s="319"/>
      <c r="F47" s="218"/>
      <c r="I47" s="219"/>
    </row>
    <row r="48">
      <c r="A48" s="214" t="s">
        <v>386</v>
      </c>
      <c r="B48" s="318" t="s">
        <v>436</v>
      </c>
      <c r="C48" s="320"/>
      <c r="E48" s="319"/>
      <c r="F48" s="218"/>
      <c r="I48" s="219"/>
    </row>
    <row r="49" ht="78.75" customHeight="1">
      <c r="A49" s="214" t="s">
        <v>260</v>
      </c>
      <c r="B49" s="225" t="s">
        <v>437</v>
      </c>
      <c r="C49" s="226"/>
      <c r="E49" s="217" t="s">
        <v>253</v>
      </c>
      <c r="F49" s="219" t="s">
        <v>262</v>
      </c>
      <c r="I49" s="219" t="s">
        <v>21</v>
      </c>
    </row>
    <row r="50">
      <c r="A50" s="336" t="s">
        <v>438</v>
      </c>
      <c r="B50" s="204"/>
      <c r="C50" s="204"/>
      <c r="D50" s="204"/>
      <c r="E50" s="204"/>
      <c r="F50" s="204"/>
      <c r="G50" s="204"/>
      <c r="H50" s="205"/>
      <c r="I50" s="164"/>
    </row>
    <row r="51">
      <c r="A51" s="337" t="s">
        <v>398</v>
      </c>
      <c r="B51" s="361"/>
      <c r="C51" s="337" t="s">
        <v>403</v>
      </c>
      <c r="D51" s="361"/>
      <c r="E51" s="337" t="s">
        <v>407</v>
      </c>
      <c r="F51" s="339"/>
      <c r="G51" s="337" t="s">
        <v>410</v>
      </c>
      <c r="H51" s="361"/>
      <c r="I51" s="219"/>
    </row>
    <row r="52">
      <c r="A52" s="340" t="s">
        <v>395</v>
      </c>
      <c r="B52" s="342" t="s">
        <v>440</v>
      </c>
      <c r="C52" s="340" t="s">
        <v>395</v>
      </c>
      <c r="D52" s="342" t="s">
        <v>404</v>
      </c>
      <c r="E52" s="340" t="s">
        <v>395</v>
      </c>
      <c r="F52" s="343" t="s">
        <v>441</v>
      </c>
      <c r="G52" s="340" t="s">
        <v>395</v>
      </c>
      <c r="H52" s="342" t="s">
        <v>404</v>
      </c>
      <c r="I52" s="219"/>
    </row>
    <row r="53">
      <c r="A53" s="340" t="s">
        <v>396</v>
      </c>
      <c r="B53" s="342" t="s">
        <v>401</v>
      </c>
      <c r="C53" s="340" t="s">
        <v>396</v>
      </c>
      <c r="D53" s="342" t="s">
        <v>406</v>
      </c>
      <c r="E53" s="340" t="s">
        <v>396</v>
      </c>
      <c r="F53" s="344" t="s">
        <v>452</v>
      </c>
      <c r="G53" s="340" t="s">
        <v>396</v>
      </c>
      <c r="H53" s="342" t="s">
        <v>406</v>
      </c>
      <c r="I53" s="219"/>
    </row>
    <row r="54">
      <c r="A54" s="345" t="s">
        <v>90</v>
      </c>
      <c r="B54" s="346" t="s">
        <v>400</v>
      </c>
      <c r="C54" s="347" t="s">
        <v>90</v>
      </c>
      <c r="D54" s="348" t="s">
        <v>445</v>
      </c>
      <c r="E54" s="347" t="s">
        <v>90</v>
      </c>
      <c r="F54" s="349" t="s">
        <v>400</v>
      </c>
      <c r="G54" s="347" t="s">
        <v>90</v>
      </c>
      <c r="H54" s="348" t="s">
        <v>445</v>
      </c>
      <c r="I54" s="219"/>
    </row>
    <row r="55">
      <c r="A55" s="337" t="s">
        <v>411</v>
      </c>
      <c r="B55" s="361"/>
      <c r="C55" s="350"/>
      <c r="D55" s="350"/>
      <c r="E55" s="350"/>
      <c r="F55" s="350"/>
      <c r="G55" s="219"/>
      <c r="H55" s="219"/>
      <c r="I55" s="219"/>
    </row>
    <row r="56">
      <c r="A56" s="340" t="s">
        <v>395</v>
      </c>
      <c r="B56" s="342" t="s">
        <v>446</v>
      </c>
      <c r="C56" s="219"/>
      <c r="D56" s="219"/>
      <c r="E56" s="219"/>
      <c r="F56" s="219"/>
      <c r="G56" s="219"/>
      <c r="H56" s="219"/>
      <c r="I56" s="219"/>
    </row>
    <row r="57">
      <c r="A57" s="340" t="s">
        <v>396</v>
      </c>
      <c r="B57" s="351" t="s">
        <v>447</v>
      </c>
      <c r="C57" s="219"/>
      <c r="D57" s="219"/>
      <c r="E57" s="219"/>
      <c r="F57" s="219"/>
      <c r="G57" s="219"/>
      <c r="H57" s="219"/>
      <c r="I57" s="219"/>
    </row>
    <row r="58">
      <c r="A58" s="347" t="s">
        <v>90</v>
      </c>
      <c r="B58" s="348" t="s">
        <v>400</v>
      </c>
      <c r="C58" s="219"/>
      <c r="D58" s="219"/>
      <c r="E58" s="219"/>
      <c r="F58" s="219"/>
      <c r="G58" s="219"/>
      <c r="H58" s="219"/>
      <c r="I58" s="219"/>
    </row>
    <row r="59">
      <c r="A59" s="227" t="s">
        <v>263</v>
      </c>
      <c r="B59" s="204"/>
      <c r="C59" s="204"/>
      <c r="D59" s="204"/>
      <c r="E59" s="204"/>
      <c r="F59" s="204"/>
      <c r="G59" s="204"/>
      <c r="H59" s="205"/>
      <c r="I59" s="164" t="s">
        <v>21</v>
      </c>
    </row>
    <row r="60">
      <c r="A60" s="1"/>
      <c r="B60" s="1"/>
      <c r="C60" s="1"/>
      <c r="D60" s="1"/>
      <c r="E60" s="1"/>
      <c r="F60" s="1"/>
      <c r="G60" s="1"/>
      <c r="H60" s="206"/>
    </row>
    <row r="61">
      <c r="A61" s="1"/>
      <c r="B61" s="229" t="s">
        <v>264</v>
      </c>
      <c r="C61" s="229" t="s">
        <v>265</v>
      </c>
      <c r="D61" s="229" t="s">
        <v>266</v>
      </c>
      <c r="E61" s="3" t="s">
        <v>267</v>
      </c>
      <c r="F61" s="1"/>
      <c r="G61" s="1"/>
      <c r="H61" s="206"/>
    </row>
    <row r="62">
      <c r="A62" s="1" t="s">
        <v>268</v>
      </c>
      <c r="B62" s="321">
        <v>0.015</v>
      </c>
      <c r="C62" s="231">
        <f t="shared" ref="C62:C67" si="1">countif($C$72:$C$115,A62)</f>
        <v>2</v>
      </c>
      <c r="D62" s="232">
        <f t="shared" ref="D62:D67" si="2">$D$68*B62</f>
        <v>1404</v>
      </c>
      <c r="E62" s="233">
        <f t="shared" ref="E62:E67" si="3">IFERROR(D62/C62,"0")</f>
        <v>702</v>
      </c>
      <c r="F62" s="1"/>
      <c r="G62" s="1"/>
      <c r="H62" s="206"/>
    </row>
    <row r="63">
      <c r="A63" s="1" t="s">
        <v>269</v>
      </c>
      <c r="B63" s="322">
        <v>0.015</v>
      </c>
      <c r="C63" s="231">
        <f t="shared" si="1"/>
        <v>13</v>
      </c>
      <c r="D63" s="232">
        <f t="shared" si="2"/>
        <v>1404</v>
      </c>
      <c r="E63" s="233">
        <f t="shared" si="3"/>
        <v>108</v>
      </c>
      <c r="F63" s="1"/>
      <c r="G63" s="1"/>
      <c r="H63" s="206"/>
    </row>
    <row r="64">
      <c r="A64" s="1" t="s">
        <v>388</v>
      </c>
      <c r="B64" s="321">
        <v>0.015</v>
      </c>
      <c r="C64" s="231">
        <f t="shared" si="1"/>
        <v>1</v>
      </c>
      <c r="D64" s="232">
        <f t="shared" si="2"/>
        <v>1404</v>
      </c>
      <c r="E64" s="233">
        <f t="shared" si="3"/>
        <v>1404</v>
      </c>
      <c r="F64" s="1"/>
      <c r="G64" s="1"/>
      <c r="H64" s="206"/>
    </row>
    <row r="65">
      <c r="A65" s="1" t="s">
        <v>270</v>
      </c>
      <c r="B65" s="322">
        <v>0.085</v>
      </c>
      <c r="C65" s="231">
        <f t="shared" si="1"/>
        <v>9</v>
      </c>
      <c r="D65" s="232">
        <f t="shared" si="2"/>
        <v>7956</v>
      </c>
      <c r="E65" s="233">
        <f t="shared" si="3"/>
        <v>884</v>
      </c>
      <c r="F65" s="1"/>
      <c r="G65" s="1"/>
      <c r="H65" s="206"/>
    </row>
    <row r="66">
      <c r="A66" s="1" t="s">
        <v>271</v>
      </c>
      <c r="B66" s="234">
        <v>0.35</v>
      </c>
      <c r="C66" s="231">
        <f t="shared" si="1"/>
        <v>10</v>
      </c>
      <c r="D66" s="232">
        <f t="shared" si="2"/>
        <v>32760</v>
      </c>
      <c r="E66" s="233">
        <f t="shared" si="3"/>
        <v>3276</v>
      </c>
      <c r="F66" s="1"/>
      <c r="G66" s="1"/>
      <c r="H66" s="206"/>
    </row>
    <row r="67">
      <c r="A67" s="235" t="s">
        <v>272</v>
      </c>
      <c r="B67" s="236">
        <v>0.52</v>
      </c>
      <c r="C67" s="231">
        <f t="shared" si="1"/>
        <v>9</v>
      </c>
      <c r="D67" s="237">
        <f t="shared" si="2"/>
        <v>48672</v>
      </c>
      <c r="E67" s="233">
        <f t="shared" si="3"/>
        <v>5408</v>
      </c>
      <c r="F67" s="1"/>
      <c r="G67" s="1"/>
      <c r="H67" s="206"/>
    </row>
    <row r="68">
      <c r="A68" s="278" t="s">
        <v>93</v>
      </c>
      <c r="B68" s="238">
        <f>sum(B62:B67)</f>
        <v>1</v>
      </c>
      <c r="C68" s="239">
        <f>COUNTA(B72:B115)</f>
        <v>44</v>
      </c>
      <c r="D68" s="323">
        <v>93600.0</v>
      </c>
      <c r="E68" s="1"/>
      <c r="F68" s="1"/>
      <c r="G68" s="1"/>
      <c r="H68" s="206"/>
    </row>
    <row r="69">
      <c r="A69" s="1"/>
      <c r="B69" s="1"/>
      <c r="C69" s="231">
        <f>sum(C62:C67)</f>
        <v>44</v>
      </c>
      <c r="D69" s="1"/>
      <c r="E69" s="1"/>
      <c r="F69" s="1"/>
      <c r="G69" s="1"/>
      <c r="H69" s="206"/>
    </row>
    <row r="70">
      <c r="A70" s="68"/>
      <c r="B70" s="1"/>
      <c r="C70" s="1"/>
      <c r="D70" s="68"/>
      <c r="E70" s="1"/>
      <c r="F70" s="1"/>
      <c r="G70" s="1"/>
      <c r="H70" s="206"/>
      <c r="I70" s="324"/>
    </row>
    <row r="71">
      <c r="A71" s="243" t="s">
        <v>273</v>
      </c>
      <c r="B71" s="325" t="s">
        <v>274</v>
      </c>
      <c r="C71" s="325" t="s">
        <v>275</v>
      </c>
      <c r="D71" s="245" t="s">
        <v>276</v>
      </c>
      <c r="E71" s="326" t="s">
        <v>277</v>
      </c>
      <c r="F71" s="327" t="s">
        <v>278</v>
      </c>
      <c r="G71" s="68"/>
      <c r="H71" s="206"/>
    </row>
    <row r="72">
      <c r="A72" s="248" t="s">
        <v>279</v>
      </c>
      <c r="B72" s="249" t="str">
        <f>IFERROR(__xludf.DUMMYFUNCTION("VLOOKUP(A72,IMPORTRANGE(""https://docs.google.com/spreadsheets/d/1oJmkDK37Qizzdaxn4KCwh1BMwdNWuHCx3AGH8BC9yu0/edit?gid=781951868#gid=781951868"",""キャラ!D:F""),3,false)"),"第三部隊隊長 亜白 ミナ")</f>
        <v>第三部隊隊長 亜白 ミナ</v>
      </c>
      <c r="C72" s="250" t="s">
        <v>268</v>
      </c>
      <c r="D72" s="251">
        <f t="shared" ref="D72:D115" si="4">vlookup(C72,$A$62:$D$67,4,false)/vlookup(C72,$A$62:$D$67,3,false)</f>
        <v>702</v>
      </c>
      <c r="E72" s="252">
        <f>IFERROR(rounddown(F72/$C$62,5),"0%")</f>
        <v>0.0075</v>
      </c>
      <c r="F72" s="330">
        <v>0.015</v>
      </c>
      <c r="G72" s="1" t="s">
        <v>389</v>
      </c>
      <c r="H72" s="206"/>
    </row>
    <row r="73">
      <c r="A73" s="248" t="s">
        <v>280</v>
      </c>
      <c r="B73" s="249" t="str">
        <f>IFERROR(__xludf.DUMMYFUNCTION("VLOOKUP(A73,IMPORTRANGE(""https://docs.google.com/spreadsheets/d/1oJmkDK37Qizzdaxn4KCwh1BMwdNWuHCx3AGH8BC9yu0/edit?gid=781951868#gid=781951868"",""キャラ!D:F""),3,false)"),"姉を想う盲愛 ユーリ・ブライア")</f>
        <v>姉を想う盲愛 ユーリ・ブライア</v>
      </c>
      <c r="C73" s="250" t="s">
        <v>268</v>
      </c>
      <c r="D73" s="251">
        <f t="shared" si="4"/>
        <v>702</v>
      </c>
      <c r="E73" s="252">
        <f>IFERROR(rounddown(F72/$C$62,5),"0%")</f>
        <v>0.0075</v>
      </c>
      <c r="F73" s="257"/>
      <c r="G73" s="1"/>
      <c r="H73" s="206"/>
    </row>
    <row r="74">
      <c r="A74" s="248" t="s">
        <v>284</v>
      </c>
      <c r="B74" s="249" t="str">
        <f>IFERROR(__xludf.DUMMYFUNCTION("VLOOKUP(A74,IMPORTRANGE(""https://docs.google.com/spreadsheets/d/1oJmkDK37Qizzdaxn4KCwh1BMwdNWuHCx3AGH8BC9yu0/edit?gid=781951868#gid=781951868"",""キャラ!D:F""),3,false)"),"&lt;黄昏&gt; ロイド")</f>
        <v>&lt;黄昏&gt; ロイド</v>
      </c>
      <c r="C74" s="255" t="s">
        <v>269</v>
      </c>
      <c r="D74" s="256">
        <f t="shared" si="4"/>
        <v>108</v>
      </c>
      <c r="E74" s="252">
        <f t="shared" ref="E74:E86" si="5">IFERROR(rounddown($F$74/$C$63,5),"0%")</f>
        <v>0.00115</v>
      </c>
      <c r="F74" s="330">
        <v>0.015</v>
      </c>
      <c r="G74" s="1"/>
      <c r="H74" s="206"/>
    </row>
    <row r="75">
      <c r="A75" s="248" t="s">
        <v>285</v>
      </c>
      <c r="B75" s="249" t="str">
        <f>IFERROR(__xludf.DUMMYFUNCTION("VLOOKUP(A75,IMPORTRANGE(""https://docs.google.com/spreadsheets/d/1oJmkDK37Qizzdaxn4KCwh1BMwdNWuHCx3AGH8BC9yu0/edit?gid=781951868#gid=781951868"",""キャラ!D:F""),3,false)"),"&lt;いばら姫&gt; ヨル")</f>
        <v>&lt;いばら姫&gt; ヨル</v>
      </c>
      <c r="C75" s="255" t="s">
        <v>269</v>
      </c>
      <c r="D75" s="256">
        <f t="shared" si="4"/>
        <v>108</v>
      </c>
      <c r="E75" s="252">
        <f t="shared" si="5"/>
        <v>0.00115</v>
      </c>
      <c r="F75" s="257"/>
      <c r="G75" s="1"/>
      <c r="H75" s="206"/>
    </row>
    <row r="76">
      <c r="A76" s="248" t="s">
        <v>286</v>
      </c>
      <c r="B76" s="249" t="str">
        <f>IFERROR(__xludf.DUMMYFUNCTION("VLOOKUP(A76,IMPORTRANGE(""https://docs.google.com/spreadsheets/d/1oJmkDK37Qizzdaxn4KCwh1BMwdNWuHCx3AGH8BC9yu0/edit?gid=781951868#gid=781951868"",""キャラ!D:F""),3,false)"),"わくわく アーニャ")</f>
        <v>わくわく アーニャ</v>
      </c>
      <c r="C76" s="255" t="s">
        <v>269</v>
      </c>
      <c r="D76" s="256">
        <f t="shared" si="4"/>
        <v>108</v>
      </c>
      <c r="E76" s="252">
        <f t="shared" si="5"/>
        <v>0.00115</v>
      </c>
      <c r="F76" s="257"/>
      <c r="G76" s="1"/>
      <c r="H76" s="206"/>
    </row>
    <row r="77">
      <c r="A77" s="248" t="s">
        <v>287</v>
      </c>
      <c r="B77" s="249" t="str">
        <f>IFERROR(__xludf.DUMMYFUNCTION("VLOOKUP(A77,IMPORTRANGE(""https://docs.google.com/spreadsheets/d/1oJmkDK37Qizzdaxn4KCwh1BMwdNWuHCx3AGH8BC9yu0/edit?gid=781951868#gid=781951868"",""キャラ!D:F""),3,false)"),"ターボババアの霊力 オカルン")</f>
        <v>ターボババアの霊力 オカルン</v>
      </c>
      <c r="C77" s="255" t="s">
        <v>269</v>
      </c>
      <c r="D77" s="256">
        <f t="shared" si="4"/>
        <v>108</v>
      </c>
      <c r="E77" s="252">
        <f t="shared" si="5"/>
        <v>0.00115</v>
      </c>
      <c r="F77" s="257"/>
      <c r="G77" s="1"/>
      <c r="H77" s="206"/>
    </row>
    <row r="78">
      <c r="A78" s="248" t="s">
        <v>288</v>
      </c>
      <c r="B78" s="249" t="str">
        <f>IFERROR(__xludf.DUMMYFUNCTION("VLOOKUP(A78,IMPORTRANGE(""https://docs.google.com/spreadsheets/d/1oJmkDK37Qizzdaxn4KCwh1BMwdNWuHCx3AGH8BC9yu0/edit?gid=781951868#gid=781951868"",""キャラ!D:F""),3,false)"),"囚われの王女 姫様")</f>
        <v>囚われの王女 姫様</v>
      </c>
      <c r="C78" s="255" t="s">
        <v>269</v>
      </c>
      <c r="D78" s="256">
        <f t="shared" si="4"/>
        <v>108</v>
      </c>
      <c r="E78" s="252">
        <f t="shared" si="5"/>
        <v>0.00115</v>
      </c>
      <c r="F78" s="257"/>
      <c r="G78" s="1"/>
      <c r="H78" s="206"/>
    </row>
    <row r="79">
      <c r="A79" s="248" t="s">
        <v>289</v>
      </c>
      <c r="B79" s="249" t="str">
        <f>IFERROR(__xludf.DUMMYFUNCTION("VLOOKUP(A79,IMPORTRANGE(""https://docs.google.com/spreadsheets/d/1oJmkDK37Qizzdaxn4KCwh1BMwdNWuHCx3AGH8BC9yu0/edit?gid=781951868#gid=781951868"",""キャラ!D:F""),3,false)"),"悪魔が恐れる悪魔 チェンソーマン")</f>
        <v>悪魔が恐れる悪魔 チェンソーマン</v>
      </c>
      <c r="C79" s="255" t="s">
        <v>269</v>
      </c>
      <c r="D79" s="256">
        <f t="shared" si="4"/>
        <v>108</v>
      </c>
      <c r="E79" s="252">
        <f t="shared" si="5"/>
        <v>0.00115</v>
      </c>
      <c r="F79" s="257"/>
      <c r="G79" s="1"/>
      <c r="H79" s="206"/>
    </row>
    <row r="80">
      <c r="A80" s="248" t="s">
        <v>290</v>
      </c>
      <c r="B80" s="249" t="str">
        <f>IFERROR(__xludf.DUMMYFUNCTION("VLOOKUP(A80,IMPORTRANGE(""https://docs.google.com/spreadsheets/d/1oJmkDK37Qizzdaxn4KCwh1BMwdNWuHCx3AGH8BC9yu0/edit?gid=781951868#gid=781951868"",""キャラ!D:F""),3,false)"),"隠された英雄の姿 怪獣８号")</f>
        <v>隠された英雄の姿 怪獣８号</v>
      </c>
      <c r="C80" s="255" t="s">
        <v>269</v>
      </c>
      <c r="D80" s="256">
        <f t="shared" si="4"/>
        <v>108</v>
      </c>
      <c r="E80" s="252">
        <f t="shared" si="5"/>
        <v>0.00115</v>
      </c>
      <c r="F80" s="257"/>
      <c r="G80" s="1"/>
      <c r="H80" s="206"/>
    </row>
    <row r="81">
      <c r="A81" s="248" t="s">
        <v>291</v>
      </c>
      <c r="B81" s="249" t="str">
        <f>IFERROR(__xludf.DUMMYFUNCTION("VLOOKUP(A81,IMPORTRANGE(""https://docs.google.com/spreadsheets/d/1oJmkDK37Qizzdaxn4KCwh1BMwdNWuHCx3AGH8BC9yu0/edit?gid=781951868#gid=781951868"",""キャラ!D:F""),3,false)"),"リリエルに捧ぐ愛 天乃 リリサ")</f>
        <v>リリエルに捧ぐ愛 天乃 リリサ</v>
      </c>
      <c r="C81" s="255" t="s">
        <v>269</v>
      </c>
      <c r="D81" s="256">
        <f t="shared" si="4"/>
        <v>108</v>
      </c>
      <c r="E81" s="252">
        <f t="shared" si="5"/>
        <v>0.00115</v>
      </c>
      <c r="F81" s="257"/>
      <c r="G81" s="1"/>
      <c r="H81" s="206"/>
    </row>
    <row r="82">
      <c r="A82" s="248" t="s">
        <v>292</v>
      </c>
      <c r="B82" s="249" t="str">
        <f>IFERROR(__xludf.DUMMYFUNCTION("VLOOKUP(A82,IMPORTRANGE(""https://docs.google.com/spreadsheets/d/1oJmkDK37Qizzdaxn4KCwh1BMwdNWuHCx3AGH8BC9yu0/edit?gid=781951868#gid=781951868"",""キャラ!D:F""),3,false)"),"コスプレに託す乙女心 橘 美花莉")</f>
        <v>コスプレに託す乙女心 橘 美花莉</v>
      </c>
      <c r="C82" s="255" t="s">
        <v>269</v>
      </c>
      <c r="D82" s="256">
        <f t="shared" si="4"/>
        <v>108</v>
      </c>
      <c r="E82" s="252">
        <f t="shared" si="5"/>
        <v>0.00115</v>
      </c>
      <c r="F82" s="257"/>
      <c r="G82" s="1"/>
      <c r="H82" s="206"/>
    </row>
    <row r="83">
      <c r="A83" s="248" t="s">
        <v>293</v>
      </c>
      <c r="B83" s="249" t="str">
        <f>IFERROR(__xludf.DUMMYFUNCTION("VLOOKUP(A83,IMPORTRANGE(""https://docs.google.com/spreadsheets/d/1oJmkDK37Qizzdaxn4KCwh1BMwdNWuHCx3AGH8BC9yu0/edit?gid=781951868#gid=781951868"",""キャラ!D:F""),3,false)"),"誇り高き魔都の剣姫 羽前 京香")</f>
        <v>誇り高き魔都の剣姫 羽前 京香</v>
      </c>
      <c r="C83" s="255" t="s">
        <v>269</v>
      </c>
      <c r="D83" s="256">
        <f t="shared" si="4"/>
        <v>108</v>
      </c>
      <c r="E83" s="252">
        <f t="shared" si="5"/>
        <v>0.00115</v>
      </c>
      <c r="F83" s="257"/>
      <c r="G83" s="1"/>
      <c r="H83" s="206"/>
    </row>
    <row r="84">
      <c r="A84" s="248" t="s">
        <v>294</v>
      </c>
      <c r="B84" s="249" t="str">
        <f>IFERROR(__xludf.DUMMYFUNCTION("VLOOKUP(A84,IMPORTRANGE(""https://docs.google.com/spreadsheets/d/1oJmkDK37Qizzdaxn4KCwh1BMwdNWuHCx3AGH8BC9yu0/edit?gid=781951868#gid=781951868"",""キャラ!D:F""),3,false)"),"がらんの画眉丸")</f>
        <v>がらんの画眉丸</v>
      </c>
      <c r="C84" s="255" t="s">
        <v>269</v>
      </c>
      <c r="D84" s="256">
        <f t="shared" si="4"/>
        <v>108</v>
      </c>
      <c r="E84" s="252">
        <f t="shared" si="5"/>
        <v>0.00115</v>
      </c>
      <c r="F84" s="257"/>
      <c r="G84" s="1"/>
      <c r="H84" s="206"/>
    </row>
    <row r="85">
      <c r="A85" s="248" t="s">
        <v>295</v>
      </c>
      <c r="B85" s="249" t="str">
        <f>IFERROR(__xludf.DUMMYFUNCTION("VLOOKUP(A85,IMPORTRANGE(""https://docs.google.com/spreadsheets/d/1oJmkDK37Qizzdaxn4KCwh1BMwdNWuHCx3AGH8BC9yu0/edit?gid=781951868#gid=781951868"",""キャラ!D:F""),3,false)"),"新人魔法少女 桜木 カナ")</f>
        <v>新人魔法少女 桜木 カナ</v>
      </c>
      <c r="C85" s="255" t="s">
        <v>269</v>
      </c>
      <c r="D85" s="256">
        <f t="shared" si="4"/>
        <v>108</v>
      </c>
      <c r="E85" s="252">
        <f t="shared" si="5"/>
        <v>0.00115</v>
      </c>
      <c r="F85" s="257"/>
      <c r="G85" s="1"/>
      <c r="H85" s="206"/>
    </row>
    <row r="86">
      <c r="A86" s="248" t="s">
        <v>296</v>
      </c>
      <c r="B86" s="249" t="str">
        <f>IFERROR(__xludf.DUMMYFUNCTION("VLOOKUP(A86,IMPORTRANGE(""https://docs.google.com/spreadsheets/d/1oJmkDK37Qizzdaxn4KCwh1BMwdNWuHCx3AGH8BC9yu0/edit?gid=781951868#gid=781951868"",""キャラ!D:F""),3,false)"),"影のウシオ 小舟 潮")</f>
        <v>影のウシオ 小舟 潮</v>
      </c>
      <c r="C86" s="255" t="s">
        <v>269</v>
      </c>
      <c r="D86" s="256">
        <f t="shared" si="4"/>
        <v>108</v>
      </c>
      <c r="E86" s="252">
        <f t="shared" si="5"/>
        <v>0.00115</v>
      </c>
      <c r="F86" s="264"/>
      <c r="G86" s="1"/>
      <c r="H86" s="206"/>
    </row>
    <row r="87">
      <c r="A87" s="248" t="s">
        <v>297</v>
      </c>
      <c r="B87" s="249" t="str">
        <f>IFERROR(__xludf.DUMMYFUNCTION("VLOOKUP(A87,IMPORTRANGE(""https://docs.google.com/spreadsheets/d/1oJmkDK37Qizzdaxn4KCwh1BMwdNWuHCx3AGH8BC9yu0/edit?gid=781951868#gid=781951868"",""キャラ!D:F""),3,false)"),"保科 宗四郎")</f>
        <v>保科 宗四郎</v>
      </c>
      <c r="C87" s="328" t="s">
        <v>388</v>
      </c>
      <c r="D87" s="266">
        <f t="shared" si="4"/>
        <v>1404</v>
      </c>
      <c r="E87" s="252">
        <f>IFERROR(rounddown($F$87/$C$64,5),"0%")</f>
        <v>0.015</v>
      </c>
      <c r="F87" s="285">
        <v>0.015</v>
      </c>
      <c r="G87" s="1"/>
      <c r="H87" s="206"/>
    </row>
    <row r="88">
      <c r="A88" s="263" t="s">
        <v>304</v>
      </c>
      <c r="B88" s="249" t="str">
        <f>IFERROR(__xludf.DUMMYFUNCTION("VLOOKUP(A88,IMPORTRANGE(""https://docs.google.com/spreadsheets/d/1oJmkDK37Qizzdaxn4KCwh1BMwdNWuHCx3AGH8BC9yu0/edit?gid=781951868#gid=781951868"",""キャラ!D:F""),3,false)"),"モモ")</f>
        <v>モモ</v>
      </c>
      <c r="C88" s="265" t="s">
        <v>270</v>
      </c>
      <c r="D88" s="266">
        <f t="shared" si="4"/>
        <v>884</v>
      </c>
      <c r="E88" s="252">
        <f t="shared" ref="E88:E96" si="6">IFERROR(rounddown($F$88/$C$65,5),"0%")</f>
        <v>0.00944</v>
      </c>
      <c r="F88" s="285">
        <v>0.085</v>
      </c>
      <c r="G88" s="1"/>
      <c r="H88" s="206"/>
    </row>
    <row r="89">
      <c r="A89" s="263" t="s">
        <v>305</v>
      </c>
      <c r="B89" s="249" t="str">
        <f>IFERROR(__xludf.DUMMYFUNCTION("VLOOKUP(A89,IMPORTRANGE(""https://docs.google.com/spreadsheets/d/1oJmkDK37Qizzdaxn4KCwh1BMwdNWuHCx3AGH8BC9yu0/edit?gid=781951868#gid=781951868"",""キャラ!D:F""),3,false)"),"早川 アキ")</f>
        <v>早川 アキ</v>
      </c>
      <c r="C89" s="265" t="s">
        <v>270</v>
      </c>
      <c r="D89" s="266">
        <f t="shared" si="4"/>
        <v>884</v>
      </c>
      <c r="E89" s="252">
        <f t="shared" si="6"/>
        <v>0.00944</v>
      </c>
      <c r="F89" s="257"/>
      <c r="G89" s="1"/>
      <c r="H89" s="206"/>
    </row>
    <row r="90">
      <c r="A90" s="263" t="s">
        <v>306</v>
      </c>
      <c r="B90" s="249" t="str">
        <f>IFERROR(__xludf.DUMMYFUNCTION("VLOOKUP(A90,IMPORTRANGE(""https://docs.google.com/spreadsheets/d/1oJmkDK37Qizzdaxn4KCwh1BMwdNWuHCx3AGH8BC9yu0/edit?gid=781951868#gid=781951868"",""キャラ!D:F""),3,false)"),"パワー")</f>
        <v>パワー</v>
      </c>
      <c r="C90" s="265" t="s">
        <v>270</v>
      </c>
      <c r="D90" s="266">
        <f t="shared" si="4"/>
        <v>884</v>
      </c>
      <c r="E90" s="252">
        <f t="shared" si="6"/>
        <v>0.00944</v>
      </c>
      <c r="F90" s="257"/>
      <c r="G90" s="1"/>
      <c r="H90" s="206"/>
    </row>
    <row r="91">
      <c r="A91" s="263" t="s">
        <v>307</v>
      </c>
      <c r="B91" s="249" t="str">
        <f>IFERROR(__xludf.DUMMYFUNCTION("VLOOKUP(A91,IMPORTRANGE(""https://docs.google.com/spreadsheets/d/1oJmkDK37Qizzdaxn4KCwh1BMwdNWuHCx3AGH8BC9yu0/edit?gid=781951868#gid=781951868"",""キャラ!D:F""),3,false)"),"四ノ宮 キコル")</f>
        <v>四ノ宮 キコル</v>
      </c>
      <c r="C91" s="265" t="s">
        <v>270</v>
      </c>
      <c r="D91" s="266">
        <f t="shared" si="4"/>
        <v>884</v>
      </c>
      <c r="E91" s="252">
        <f t="shared" si="6"/>
        <v>0.00944</v>
      </c>
      <c r="F91" s="257"/>
      <c r="G91" s="1"/>
      <c r="H91" s="206"/>
    </row>
    <row r="92">
      <c r="A92" s="263" t="s">
        <v>308</v>
      </c>
      <c r="B92" s="249" t="str">
        <f>IFERROR(__xludf.DUMMYFUNCTION("VLOOKUP(A92,IMPORTRANGE(""https://docs.google.com/spreadsheets/d/1oJmkDK37Qizzdaxn4KCwh1BMwdNWuHCx3AGH8BC9yu0/edit?gid=781951868#gid=781951868"",""キャラ!D:F""),3,false)"),"鴨乃橋 ロン")</f>
        <v>鴨乃橋 ロン</v>
      </c>
      <c r="C92" s="265" t="s">
        <v>270</v>
      </c>
      <c r="D92" s="266">
        <f t="shared" si="4"/>
        <v>884</v>
      </c>
      <c r="E92" s="252">
        <f t="shared" si="6"/>
        <v>0.00944</v>
      </c>
      <c r="F92" s="257"/>
      <c r="G92" s="1"/>
      <c r="H92" s="206"/>
    </row>
    <row r="93">
      <c r="A93" s="263" t="s">
        <v>309</v>
      </c>
      <c r="B93" s="249" t="str">
        <f>IFERROR(__xludf.DUMMYFUNCTION("VLOOKUP(A93,IMPORTRANGE(""https://docs.google.com/spreadsheets/d/1oJmkDK37Qizzdaxn4KCwh1BMwdNWuHCx3AGH8BC9yu0/edit?gid=781951868#gid=781951868"",""キャラ!D:F""),3,false)"),"阿波連 れいな")</f>
        <v>阿波連 れいな</v>
      </c>
      <c r="C93" s="265" t="s">
        <v>270</v>
      </c>
      <c r="D93" s="266">
        <f t="shared" si="4"/>
        <v>884</v>
      </c>
      <c r="E93" s="252">
        <f t="shared" si="6"/>
        <v>0.00944</v>
      </c>
      <c r="F93" s="257"/>
      <c r="G93" s="1"/>
      <c r="H93" s="206"/>
    </row>
    <row r="94">
      <c r="A94" s="263" t="s">
        <v>310</v>
      </c>
      <c r="B94" s="249" t="str">
        <f>IFERROR(__xludf.DUMMYFUNCTION("VLOOKUP(A94,IMPORTRANGE(""https://docs.google.com/spreadsheets/d/1oJmkDK37Qizzdaxn4KCwh1BMwdNWuHCx3AGH8BC9yu0/edit?gid=781951868#gid=781951868"",""キャラ!D:F""),3,false)"),"山田浅ェ門 佐切")</f>
        <v>山田浅ェ門 佐切</v>
      </c>
      <c r="C94" s="265" t="s">
        <v>270</v>
      </c>
      <c r="D94" s="266">
        <f t="shared" si="4"/>
        <v>884</v>
      </c>
      <c r="E94" s="252">
        <f t="shared" si="6"/>
        <v>0.00944</v>
      </c>
      <c r="F94" s="257"/>
      <c r="G94" s="7"/>
      <c r="H94" s="206"/>
    </row>
    <row r="95">
      <c r="A95" s="263" t="s">
        <v>311</v>
      </c>
      <c r="B95" s="249" t="str">
        <f>IFERROR(__xludf.DUMMYFUNCTION("VLOOKUP(A95,IMPORTRANGE(""https://docs.google.com/spreadsheets/d/1oJmkDK37Qizzdaxn4KCwh1BMwdNWuHCx3AGH8BC9yu0/edit?gid=781951868#gid=781951868"",""キャラ!D:F""),3,false)"),"冬木 美波")</f>
        <v>冬木 美波</v>
      </c>
      <c r="C95" s="265" t="s">
        <v>270</v>
      </c>
      <c r="D95" s="266">
        <f t="shared" si="4"/>
        <v>884</v>
      </c>
      <c r="E95" s="252">
        <f t="shared" si="6"/>
        <v>0.00944</v>
      </c>
      <c r="F95" s="257"/>
      <c r="G95" s="1"/>
      <c r="H95" s="206"/>
    </row>
    <row r="96">
      <c r="A96" s="263" t="s">
        <v>312</v>
      </c>
      <c r="B96" s="249" t="str">
        <f>IFERROR(__xludf.DUMMYFUNCTION("VLOOKUP(A96,IMPORTRANGE(""https://docs.google.com/spreadsheets/d/1oJmkDK37Qizzdaxn4KCwh1BMwdNWuHCx3AGH8BC9yu0/edit?gid=781951868#gid=781951868"",""キャラ!D:F""),3,false)"),"秋野 沙友理")</f>
        <v>秋野 沙友理</v>
      </c>
      <c r="C96" s="265" t="s">
        <v>270</v>
      </c>
      <c r="D96" s="266">
        <f t="shared" si="4"/>
        <v>884</v>
      </c>
      <c r="E96" s="252">
        <f t="shared" si="6"/>
        <v>0.00944</v>
      </c>
      <c r="F96" s="264"/>
      <c r="G96" s="1"/>
      <c r="H96" s="206"/>
    </row>
    <row r="97">
      <c r="A97" s="248" t="s">
        <v>313</v>
      </c>
      <c r="B97" s="249" t="str">
        <f>IFERROR(__xludf.DUMMYFUNCTION("VLOOKUP(A97,IMPORTRANGE(""https://docs.google.com/spreadsheets/d/1oJmkDK37Qizzdaxn4KCwh1BMwdNWuHCx3AGH8BC9yu0/edit?gid=781951868#gid=781951868"",""キャラ!D:F""),3,false)"),"トーチャー・トルチュール")</f>
        <v>トーチャー・トルチュール</v>
      </c>
      <c r="C97" s="268" t="s">
        <v>271</v>
      </c>
      <c r="D97" s="266">
        <f t="shared" si="4"/>
        <v>3276</v>
      </c>
      <c r="E97" s="252">
        <f t="shared" ref="E97:E106" si="7">IFERROR(rounddown($F$97/$C$66,5),"0%")</f>
        <v>0.035</v>
      </c>
      <c r="F97" s="253">
        <v>0.35</v>
      </c>
      <c r="G97" s="1"/>
      <c r="H97" s="206"/>
    </row>
    <row r="98">
      <c r="A98" s="248" t="s">
        <v>314</v>
      </c>
      <c r="B98" s="249" t="str">
        <f>IFERROR(__xludf.DUMMYFUNCTION("VLOOKUP(A98,IMPORTRANGE(""https://docs.google.com/spreadsheets/d/1oJmkDK37Qizzdaxn4KCwh1BMwdNWuHCx3AGH8BC9yu0/edit?gid=781951868#gid=781951868"",""キャラ!D:F""),3,false)"),"清峰 葉流火")</f>
        <v>清峰 葉流火</v>
      </c>
      <c r="C98" s="268" t="s">
        <v>271</v>
      </c>
      <c r="D98" s="266">
        <f t="shared" si="4"/>
        <v>3276</v>
      </c>
      <c r="E98" s="252">
        <f t="shared" si="7"/>
        <v>0.035</v>
      </c>
      <c r="F98" s="257"/>
      <c r="G98" s="1"/>
      <c r="H98" s="206"/>
    </row>
    <row r="99">
      <c r="A99" s="248" t="s">
        <v>315</v>
      </c>
      <c r="B99" s="249" t="str">
        <f>IFERROR(__xludf.DUMMYFUNCTION("VLOOKUP(A99,IMPORTRANGE(""https://docs.google.com/spreadsheets/d/1oJmkDK37Qizzdaxn4KCwh1BMwdNWuHCx3AGH8BC9yu0/edit?gid=781951868#gid=781951868"",""キャラ!D:F""),3,false)"),"要 圭")</f>
        <v>要 圭</v>
      </c>
      <c r="C99" s="268" t="s">
        <v>271</v>
      </c>
      <c r="D99" s="266">
        <f t="shared" si="4"/>
        <v>3276</v>
      </c>
      <c r="E99" s="252">
        <f t="shared" si="7"/>
        <v>0.035</v>
      </c>
      <c r="F99" s="257"/>
      <c r="G99" s="1"/>
      <c r="H99" s="206"/>
    </row>
    <row r="100">
      <c r="A100" s="248" t="s">
        <v>316</v>
      </c>
      <c r="B100" s="249" t="str">
        <f>IFERROR(__xludf.DUMMYFUNCTION("VLOOKUP(A100,IMPORTRANGE(""https://docs.google.com/spreadsheets/d/1oJmkDK37Qizzdaxn4KCwh1BMwdNWuHCx3AGH8BC9yu0/edit?gid=781951868#gid=781951868"",""キャラ!D:F""),3,false)"),"市川 レノ")</f>
        <v>市川 レノ</v>
      </c>
      <c r="C100" s="268" t="s">
        <v>271</v>
      </c>
      <c r="D100" s="266">
        <f t="shared" si="4"/>
        <v>3276</v>
      </c>
      <c r="E100" s="252">
        <f t="shared" si="7"/>
        <v>0.035</v>
      </c>
      <c r="F100" s="257"/>
      <c r="G100" s="1"/>
      <c r="H100" s="206"/>
    </row>
    <row r="101">
      <c r="A101" s="248" t="s">
        <v>317</v>
      </c>
      <c r="B101" s="249" t="str">
        <f>IFERROR(__xludf.DUMMYFUNCTION("VLOOKUP(A101,IMPORTRANGE(""https://docs.google.com/spreadsheets/d/1oJmkDK37Qizzdaxn4KCwh1BMwdNWuHCx3AGH8BC9yu0/edit?gid=781951868#gid=781951868"",""キャラ!D:F""),3,false)"),"東 日万凛")</f>
        <v>東 日万凛</v>
      </c>
      <c r="C101" s="268" t="s">
        <v>271</v>
      </c>
      <c r="D101" s="266">
        <f t="shared" si="4"/>
        <v>3276</v>
      </c>
      <c r="E101" s="252">
        <f t="shared" si="7"/>
        <v>0.035</v>
      </c>
      <c r="F101" s="257"/>
      <c r="G101" s="1"/>
      <c r="H101" s="206"/>
    </row>
    <row r="102">
      <c r="A102" s="248" t="s">
        <v>318</v>
      </c>
      <c r="B102" s="249" t="str">
        <f>IFERROR(__xludf.DUMMYFUNCTION("VLOOKUP(A102,IMPORTRANGE(""https://docs.google.com/spreadsheets/d/1oJmkDK37Qizzdaxn4KCwh1BMwdNWuHCx3AGH8BC9yu0/edit?gid=781951868#gid=781951868"",""キャラ!D:F""),3,false)"),"駿河 朱々")</f>
        <v>駿河 朱々</v>
      </c>
      <c r="C102" s="268" t="s">
        <v>271</v>
      </c>
      <c r="D102" s="266">
        <f t="shared" si="4"/>
        <v>3276</v>
      </c>
      <c r="E102" s="252">
        <f t="shared" si="7"/>
        <v>0.035</v>
      </c>
      <c r="F102" s="257"/>
      <c r="G102" s="1"/>
      <c r="H102" s="206"/>
    </row>
    <row r="103">
      <c r="A103" s="248" t="s">
        <v>319</v>
      </c>
      <c r="B103" s="249" t="str">
        <f>IFERROR(__xludf.DUMMYFUNCTION("VLOOKUP(A103,IMPORTRANGE(""https://docs.google.com/spreadsheets/d/1oJmkDK37Qizzdaxn4KCwh1BMwdNWuHCx3AGH8BC9yu0/edit?gid=781951868#gid=781951868"",""キャラ!D:F""),3,false)"),"ライドウ")</f>
        <v>ライドウ</v>
      </c>
      <c r="C103" s="268" t="s">
        <v>271</v>
      </c>
      <c r="D103" s="266">
        <f t="shared" si="4"/>
        <v>3276</v>
      </c>
      <c r="E103" s="252">
        <f t="shared" si="7"/>
        <v>0.035</v>
      </c>
      <c r="F103" s="257"/>
      <c r="G103" s="1"/>
      <c r="H103" s="206"/>
    </row>
    <row r="104">
      <c r="A104" s="248" t="s">
        <v>320</v>
      </c>
      <c r="B104" s="249" t="str">
        <f>IFERROR(__xludf.DUMMYFUNCTION("VLOOKUP(A104,IMPORTRANGE(""https://docs.google.com/spreadsheets/d/1oJmkDK37Qizzdaxn4KCwh1BMwdNWuHCx3AGH8BC9yu0/edit?gid=781951868#gid=781951868"",""キャラ!D:F""),3,false)"),"山田浅ェ門 仙汰")</f>
        <v>山田浅ェ門 仙汰</v>
      </c>
      <c r="C104" s="268" t="s">
        <v>271</v>
      </c>
      <c r="D104" s="266">
        <f t="shared" si="4"/>
        <v>3276</v>
      </c>
      <c r="E104" s="252">
        <f t="shared" si="7"/>
        <v>0.035</v>
      </c>
      <c r="F104" s="257"/>
      <c r="G104" s="1"/>
      <c r="H104" s="206"/>
    </row>
    <row r="105">
      <c r="A105" s="248" t="s">
        <v>321</v>
      </c>
      <c r="B105" s="249" t="str">
        <f>IFERROR(__xludf.DUMMYFUNCTION("VLOOKUP(A105,IMPORTRANGE(""https://docs.google.com/spreadsheets/d/1oJmkDK37Qizzdaxn4KCwh1BMwdNWuHCx3AGH8BC9yu0/edit?gid=781951868#gid=781951868"",""キャラ!D:F""),3,false)"),"越谷 仁美")</f>
        <v>越谷 仁美</v>
      </c>
      <c r="C105" s="268" t="s">
        <v>271</v>
      </c>
      <c r="D105" s="266">
        <f t="shared" si="4"/>
        <v>3276</v>
      </c>
      <c r="E105" s="252">
        <f t="shared" si="7"/>
        <v>0.035</v>
      </c>
      <c r="F105" s="257"/>
      <c r="G105" s="1"/>
      <c r="H105" s="206"/>
    </row>
    <row r="106">
      <c r="A106" s="248" t="s">
        <v>322</v>
      </c>
      <c r="B106" s="249" t="str">
        <f>IFERROR(__xludf.DUMMYFUNCTION("VLOOKUP(A106,IMPORTRANGE(""https://docs.google.com/spreadsheets/d/1oJmkDK37Qizzdaxn4KCwh1BMwdNWuHCx3AGH8BC9yu0/edit?gid=781951868#gid=781951868"",""キャラ!D:F""),3,false)"),"小舟 澪")</f>
        <v>小舟 澪</v>
      </c>
      <c r="C106" s="268" t="s">
        <v>271</v>
      </c>
      <c r="D106" s="266">
        <f t="shared" si="4"/>
        <v>3276</v>
      </c>
      <c r="E106" s="252">
        <f t="shared" si="7"/>
        <v>0.035</v>
      </c>
      <c r="F106" s="264"/>
      <c r="G106" s="1"/>
      <c r="H106" s="206"/>
    </row>
    <row r="107">
      <c r="A107" s="248" t="s">
        <v>323</v>
      </c>
      <c r="B107" s="249" t="str">
        <f>IFERROR(__xludf.DUMMYFUNCTION("VLOOKUP(A107,IMPORTRANGE(""https://docs.google.com/spreadsheets/d/1oJmkDK37Qizzdaxn4KCwh1BMwdNWuHCx3AGH8BC9yu0/edit?gid=781951868#gid=781951868"",""キャラ!D:F""),3,false)"),"佐々木")</f>
        <v>佐々木</v>
      </c>
      <c r="C107" s="269" t="s">
        <v>272</v>
      </c>
      <c r="D107" s="266">
        <f t="shared" si="4"/>
        <v>5408</v>
      </c>
      <c r="E107" s="252">
        <f t="shared" ref="E107:E115" si="8">IFERROR(rounddown($F$107/$C$67,5),"0%")</f>
        <v>0.05777</v>
      </c>
      <c r="F107" s="253">
        <v>0.52</v>
      </c>
      <c r="G107" s="1"/>
      <c r="H107" s="206"/>
    </row>
    <row r="108">
      <c r="A108" s="248" t="s">
        <v>324</v>
      </c>
      <c r="B108" s="249" t="str">
        <f>IFERROR(__xludf.DUMMYFUNCTION("VLOOKUP(A108,IMPORTRANGE(""https://docs.google.com/spreadsheets/d/1oJmkDK37Qizzdaxn4KCwh1BMwdNWuHCx3AGH8BC9yu0/edit?gid=781951868#gid=781951868"",""キャラ!D:F""),3,false)"),"文蔵")</f>
        <v>文蔵</v>
      </c>
      <c r="C108" s="269" t="s">
        <v>272</v>
      </c>
      <c r="D108" s="266">
        <f t="shared" si="4"/>
        <v>5408</v>
      </c>
      <c r="E108" s="252">
        <f t="shared" si="8"/>
        <v>0.05777</v>
      </c>
      <c r="F108" s="257"/>
      <c r="G108" s="1"/>
      <c r="H108" s="206"/>
    </row>
    <row r="109">
      <c r="A109" s="248" t="s">
        <v>325</v>
      </c>
      <c r="B109" s="249" t="str">
        <f>IFERROR(__xludf.DUMMYFUNCTION("VLOOKUP(A109,IMPORTRANGE(""https://docs.google.com/spreadsheets/d/1oJmkDK37Qizzdaxn4KCwh1BMwdNWuHCx3AGH8BC9yu0/edit?gid=781951868#gid=781951868"",""キャラ!D:F""),3,false)"),"リコピン")</f>
        <v>リコピン</v>
      </c>
      <c r="C109" s="269" t="s">
        <v>272</v>
      </c>
      <c r="D109" s="266">
        <f t="shared" si="4"/>
        <v>5408</v>
      </c>
      <c r="E109" s="252">
        <f t="shared" si="8"/>
        <v>0.05777</v>
      </c>
      <c r="F109" s="257"/>
      <c r="G109" s="1"/>
      <c r="H109" s="206"/>
    </row>
    <row r="110">
      <c r="A110" s="248" t="s">
        <v>326</v>
      </c>
      <c r="B110" s="249" t="str">
        <f>IFERROR(__xludf.DUMMYFUNCTION("VLOOKUP(A110,IMPORTRANGE(""https://docs.google.com/spreadsheets/d/1oJmkDK37Qizzdaxn4KCwh1BMwdNWuHCx3AGH8BC9yu0/edit?gid=781951868#gid=781951868"",""キャラ!D:F""),3,false)"),"一色 都々丸")</f>
        <v>一色 都々丸</v>
      </c>
      <c r="C110" s="269" t="s">
        <v>272</v>
      </c>
      <c r="D110" s="266">
        <f t="shared" si="4"/>
        <v>5408</v>
      </c>
      <c r="E110" s="252">
        <f t="shared" si="8"/>
        <v>0.05777</v>
      </c>
      <c r="F110" s="257"/>
      <c r="G110" s="1"/>
      <c r="H110" s="206"/>
    </row>
    <row r="111">
      <c r="A111" s="248" t="s">
        <v>327</v>
      </c>
      <c r="B111" s="249" t="str">
        <f>IFERROR(__xludf.DUMMYFUNCTION("VLOOKUP(A111,IMPORTRANGE(""https://docs.google.com/spreadsheets/d/1oJmkDK37Qizzdaxn4KCwh1BMwdNWuHCx3AGH8BC9yu0/edit?gid=781951868#gid=781951868"",""キャラ!D:F""),3,false)"),"オカルン")</f>
        <v>オカルン</v>
      </c>
      <c r="C111" s="269" t="s">
        <v>272</v>
      </c>
      <c r="D111" s="266">
        <f t="shared" si="4"/>
        <v>5408</v>
      </c>
      <c r="E111" s="252">
        <f t="shared" si="8"/>
        <v>0.05777</v>
      </c>
      <c r="F111" s="257"/>
      <c r="G111" s="1"/>
      <c r="H111" s="206"/>
    </row>
    <row r="112">
      <c r="A112" s="248" t="s">
        <v>328</v>
      </c>
      <c r="B112" s="249" t="str">
        <f>IFERROR(__xludf.DUMMYFUNCTION("VLOOKUP(A112,IMPORTRANGE(""https://docs.google.com/spreadsheets/d/1oJmkDK37Qizzdaxn4KCwh1BMwdNWuHCx3AGH8BC9yu0/edit?gid=781951868#gid=781951868"",""キャラ!D:F""),3,false)"),"デンジ")</f>
        <v>デンジ</v>
      </c>
      <c r="C112" s="269" t="s">
        <v>272</v>
      </c>
      <c r="D112" s="266">
        <f t="shared" si="4"/>
        <v>5408</v>
      </c>
      <c r="E112" s="252">
        <f t="shared" si="8"/>
        <v>0.05777</v>
      </c>
      <c r="F112" s="257"/>
      <c r="G112" s="1"/>
      <c r="H112" s="206"/>
    </row>
    <row r="113">
      <c r="A113" s="248" t="s">
        <v>329</v>
      </c>
      <c r="B113" s="249" t="str">
        <f>IFERROR(__xludf.DUMMYFUNCTION("VLOOKUP(A113,IMPORTRANGE(""https://docs.google.com/spreadsheets/d/1oJmkDK37Qizzdaxn4KCwh1BMwdNWuHCx3AGH8BC9yu0/edit?gid=781951868#gid=781951868"",""キャラ!D:F""),3,false)"),"日比野 カフカ")</f>
        <v>日比野 カフカ</v>
      </c>
      <c r="C113" s="269" t="s">
        <v>272</v>
      </c>
      <c r="D113" s="266">
        <f t="shared" si="4"/>
        <v>5408</v>
      </c>
      <c r="E113" s="252">
        <f t="shared" si="8"/>
        <v>0.05777</v>
      </c>
      <c r="F113" s="257"/>
      <c r="G113" s="1"/>
      <c r="H113" s="1"/>
    </row>
    <row r="114">
      <c r="A114" s="248" t="s">
        <v>330</v>
      </c>
      <c r="B114" s="249" t="str">
        <f>IFERROR(__xludf.DUMMYFUNCTION("VLOOKUP(A114,IMPORTRANGE(""https://docs.google.com/spreadsheets/d/1oJmkDK37Qizzdaxn4KCwh1BMwdNWuHCx3AGH8BC9yu0/edit?gid=781951868#gid=781951868"",""キャラ!D:F""),3,false)"),"和倉 優希")</f>
        <v>和倉 優希</v>
      </c>
      <c r="C114" s="269" t="s">
        <v>272</v>
      </c>
      <c r="D114" s="266">
        <f t="shared" si="4"/>
        <v>5408</v>
      </c>
      <c r="E114" s="252">
        <f t="shared" si="8"/>
        <v>0.05777</v>
      </c>
      <c r="F114" s="257"/>
      <c r="G114" s="1"/>
      <c r="H114" s="1"/>
    </row>
    <row r="115">
      <c r="A115" s="248" t="s">
        <v>331</v>
      </c>
      <c r="B115" s="249" t="str">
        <f>IFERROR(__xludf.DUMMYFUNCTION("VLOOKUP(A115,IMPORTRANGE(""https://docs.google.com/spreadsheets/d/1oJmkDK37Qizzdaxn4KCwh1BMwdNWuHCx3AGH8BC9yu0/edit?gid=781951868#gid=781951868"",""キャラ!D:F""),3,false)"),"網代 慎平")</f>
        <v>網代 慎平</v>
      </c>
      <c r="C115" s="269" t="s">
        <v>272</v>
      </c>
      <c r="D115" s="266">
        <f t="shared" si="4"/>
        <v>5408</v>
      </c>
      <c r="E115" s="252">
        <f t="shared" si="8"/>
        <v>0.05777</v>
      </c>
      <c r="F115" s="264"/>
      <c r="G115" s="1"/>
      <c r="H115" s="1"/>
    </row>
    <row r="116">
      <c r="A116" s="68"/>
      <c r="B116" s="68"/>
      <c r="C116" s="68"/>
      <c r="D116" s="1"/>
      <c r="E116" s="270">
        <f t="shared" ref="E116:F116" si="9">sum(E72:E115)</f>
        <v>0.99984</v>
      </c>
      <c r="F116" s="271">
        <f t="shared" si="9"/>
        <v>1</v>
      </c>
      <c r="G116" s="1"/>
      <c r="H116" s="1"/>
    </row>
    <row r="117" ht="24.75" customHeight="1">
      <c r="A117" s="352" t="s">
        <v>448</v>
      </c>
      <c r="B117" s="353"/>
      <c r="C117" s="353"/>
      <c r="D117" s="354"/>
      <c r="E117" s="355"/>
      <c r="F117" s="356"/>
      <c r="G117" s="354"/>
      <c r="H117" s="357"/>
      <c r="I117" s="358"/>
    </row>
    <row r="118">
      <c r="A118" s="227" t="s">
        <v>390</v>
      </c>
      <c r="B118" s="203"/>
      <c r="C118" s="203"/>
      <c r="D118" s="204"/>
      <c r="E118" s="274"/>
      <c r="F118" s="275"/>
      <c r="G118" s="204"/>
      <c r="H118" s="205"/>
    </row>
    <row r="119">
      <c r="A119" s="68"/>
      <c r="B119" s="68"/>
      <c r="C119" s="68"/>
      <c r="D119" s="1"/>
      <c r="E119" s="130"/>
      <c r="F119" s="272"/>
      <c r="G119" s="1"/>
      <c r="H119" s="206"/>
    </row>
    <row r="120">
      <c r="A120" s="68"/>
      <c r="B120" s="276" t="s">
        <v>264</v>
      </c>
      <c r="C120" s="276" t="s">
        <v>265</v>
      </c>
      <c r="D120" s="229" t="s">
        <v>266</v>
      </c>
      <c r="E120" s="277" t="s">
        <v>267</v>
      </c>
      <c r="F120" s="272"/>
      <c r="G120" s="1"/>
      <c r="H120" s="206"/>
    </row>
    <row r="121">
      <c r="A121" s="68" t="s">
        <v>268</v>
      </c>
      <c r="B121" s="321">
        <v>0.015</v>
      </c>
      <c r="C121" s="278">
        <f t="shared" ref="C121:C125" si="10">countif($C$131:$C$165,A121)</f>
        <v>2</v>
      </c>
      <c r="D121" s="232">
        <f t="shared" ref="D121:D125" si="11">$D$127*B121</f>
        <v>3510</v>
      </c>
      <c r="E121" s="233">
        <f t="shared" ref="E121:E125" si="12">IFERROR(D121/C121,"0")</f>
        <v>1755</v>
      </c>
      <c r="F121" s="272"/>
      <c r="G121" s="1"/>
      <c r="H121" s="206"/>
    </row>
    <row r="122">
      <c r="A122" s="68" t="s">
        <v>269</v>
      </c>
      <c r="B122" s="322">
        <v>0.015</v>
      </c>
      <c r="C122" s="278">
        <f t="shared" si="10"/>
        <v>13</v>
      </c>
      <c r="D122" s="232">
        <f t="shared" si="11"/>
        <v>3510</v>
      </c>
      <c r="E122" s="233">
        <f t="shared" si="12"/>
        <v>270</v>
      </c>
      <c r="F122" s="272"/>
      <c r="G122" s="1"/>
      <c r="H122" s="206"/>
    </row>
    <row r="123">
      <c r="A123" s="68" t="s">
        <v>388</v>
      </c>
      <c r="B123" s="321">
        <v>0.015</v>
      </c>
      <c r="C123" s="278">
        <f t="shared" si="10"/>
        <v>1</v>
      </c>
      <c r="D123" s="232">
        <f t="shared" si="11"/>
        <v>3510</v>
      </c>
      <c r="E123" s="233">
        <f t="shared" si="12"/>
        <v>3510</v>
      </c>
      <c r="F123" s="272"/>
      <c r="G123" s="1"/>
      <c r="H123" s="206"/>
    </row>
    <row r="124">
      <c r="A124" s="68" t="s">
        <v>270</v>
      </c>
      <c r="B124" s="322">
        <v>0.085</v>
      </c>
      <c r="C124" s="278">
        <f t="shared" si="10"/>
        <v>9</v>
      </c>
      <c r="D124" s="232">
        <f t="shared" si="11"/>
        <v>19890</v>
      </c>
      <c r="E124" s="233">
        <f t="shared" si="12"/>
        <v>2210</v>
      </c>
      <c r="F124" s="272"/>
      <c r="G124" s="1"/>
      <c r="H124" s="206"/>
    </row>
    <row r="125">
      <c r="A125" s="68" t="s">
        <v>271</v>
      </c>
      <c r="B125" s="234">
        <v>0.87</v>
      </c>
      <c r="C125" s="278">
        <f t="shared" si="10"/>
        <v>10</v>
      </c>
      <c r="D125" s="232">
        <f t="shared" si="11"/>
        <v>203580</v>
      </c>
      <c r="E125" s="233">
        <f t="shared" si="12"/>
        <v>20358</v>
      </c>
      <c r="F125" s="272"/>
      <c r="G125" s="1"/>
      <c r="H125" s="206"/>
    </row>
    <row r="126">
      <c r="A126" s="280"/>
      <c r="B126" s="281"/>
      <c r="C126" s="68"/>
      <c r="D126" s="282"/>
      <c r="E126" s="241"/>
      <c r="F126" s="272"/>
      <c r="G126" s="1"/>
      <c r="H126" s="206"/>
    </row>
    <row r="127">
      <c r="A127" s="278" t="s">
        <v>93</v>
      </c>
      <c r="B127" s="238">
        <f t="shared" ref="B127:C127" si="13">sum(B121:B126)</f>
        <v>1</v>
      </c>
      <c r="C127" s="283">
        <f t="shared" si="13"/>
        <v>35</v>
      </c>
      <c r="D127" s="323">
        <v>234000.0</v>
      </c>
      <c r="E127" s="130"/>
      <c r="F127" s="272"/>
      <c r="G127" s="1"/>
      <c r="H127" s="206"/>
    </row>
    <row r="128">
      <c r="A128" s="68"/>
      <c r="B128" s="68"/>
      <c r="C128" s="278">
        <f>COUNTA(C131:C165)</f>
        <v>35</v>
      </c>
      <c r="D128" s="1"/>
      <c r="E128" s="130"/>
      <c r="F128" s="272"/>
      <c r="G128" s="1"/>
      <c r="H128" s="206"/>
    </row>
    <row r="129">
      <c r="A129" s="68"/>
      <c r="B129" s="68"/>
      <c r="C129" s="68"/>
      <c r="D129" s="1"/>
      <c r="E129" s="130"/>
      <c r="F129" s="272"/>
      <c r="G129" s="1"/>
      <c r="H129" s="206"/>
    </row>
    <row r="130">
      <c r="A130" s="243" t="s">
        <v>273</v>
      </c>
      <c r="B130" s="243" t="s">
        <v>274</v>
      </c>
      <c r="C130" s="243" t="s">
        <v>364</v>
      </c>
      <c r="D130" s="329" t="s">
        <v>276</v>
      </c>
      <c r="E130" s="247" t="s">
        <v>277</v>
      </c>
      <c r="F130" s="316" t="s">
        <v>278</v>
      </c>
      <c r="G130" s="1"/>
      <c r="H130" s="206"/>
    </row>
    <row r="131">
      <c r="A131" s="248" t="s">
        <v>279</v>
      </c>
      <c r="B131" s="249" t="str">
        <f>IFERROR(__xludf.DUMMYFUNCTION("VLOOKUP(A131,IMPORTRANGE(""https://docs.google.com/spreadsheets/d/1oJmkDK37Qizzdaxn4KCwh1BMwdNWuHCx3AGH8BC9yu0/edit?gid=781951868#gid=781951868"",""キャラ!D:F""),3,false)"),"第三部隊隊長 亜白 ミナ")</f>
        <v>第三部隊隊長 亜白 ミナ</v>
      </c>
      <c r="C131" s="250" t="s">
        <v>268</v>
      </c>
      <c r="D131" s="251">
        <f t="shared" ref="D131:D165" si="14">vlookup(C131,$A$121:$D$126,4,false)/vlookup(C131,$A$121:$D$126,3,false)</f>
        <v>1755</v>
      </c>
      <c r="E131" s="252">
        <f>IFERROR(rounddown(F131/$C$62,5),"0%")</f>
        <v>0.0075</v>
      </c>
      <c r="F131" s="330">
        <v>0.015</v>
      </c>
      <c r="G131" s="1" t="s">
        <v>389</v>
      </c>
      <c r="H131" s="206"/>
    </row>
    <row r="132">
      <c r="A132" s="248" t="s">
        <v>280</v>
      </c>
      <c r="B132" s="249" t="str">
        <f>IFERROR(__xludf.DUMMYFUNCTION("VLOOKUP(A132,IMPORTRANGE(""https://docs.google.com/spreadsheets/d/1oJmkDK37Qizzdaxn4KCwh1BMwdNWuHCx3AGH8BC9yu0/edit?gid=781951868#gid=781951868"",""キャラ!D:F""),3,false)"),"姉を想う盲愛 ユーリ・ブライア")</f>
        <v>姉を想う盲愛 ユーリ・ブライア</v>
      </c>
      <c r="C132" s="250" t="s">
        <v>268</v>
      </c>
      <c r="D132" s="251">
        <f t="shared" si="14"/>
        <v>1755</v>
      </c>
      <c r="E132" s="252">
        <f>IFERROR(rounddown(F131/$C$62,5),"0%")</f>
        <v>0.0075</v>
      </c>
      <c r="F132" s="257"/>
      <c r="G132" s="1"/>
      <c r="H132" s="206"/>
    </row>
    <row r="133">
      <c r="A133" s="248" t="s">
        <v>284</v>
      </c>
      <c r="B133" s="249" t="str">
        <f>IFERROR(__xludf.DUMMYFUNCTION("VLOOKUP(A133,IMPORTRANGE(""https://docs.google.com/spreadsheets/d/1oJmkDK37Qizzdaxn4KCwh1BMwdNWuHCx3AGH8BC9yu0/edit?gid=781951868#gid=781951868"",""キャラ!D:F""),3,false)"),"&lt;黄昏&gt; ロイド")</f>
        <v>&lt;黄昏&gt; ロイド</v>
      </c>
      <c r="C133" s="255" t="s">
        <v>269</v>
      </c>
      <c r="D133" s="251">
        <f t="shared" si="14"/>
        <v>270</v>
      </c>
      <c r="E133" s="252">
        <f t="shared" ref="E133:E145" si="15">IFERROR(rounddown($F$74/$C$63,5),"0%")</f>
        <v>0.00115</v>
      </c>
      <c r="F133" s="330">
        <v>0.015</v>
      </c>
      <c r="G133" s="1"/>
      <c r="H133" s="206"/>
    </row>
    <row r="134">
      <c r="A134" s="248" t="s">
        <v>285</v>
      </c>
      <c r="B134" s="249" t="str">
        <f>IFERROR(__xludf.DUMMYFUNCTION("VLOOKUP(A134,IMPORTRANGE(""https://docs.google.com/spreadsheets/d/1oJmkDK37Qizzdaxn4KCwh1BMwdNWuHCx3AGH8BC9yu0/edit?gid=781951868#gid=781951868"",""キャラ!D:F""),3,false)"),"&lt;いばら姫&gt; ヨル")</f>
        <v>&lt;いばら姫&gt; ヨル</v>
      </c>
      <c r="C134" s="255" t="s">
        <v>269</v>
      </c>
      <c r="D134" s="251">
        <f t="shared" si="14"/>
        <v>270</v>
      </c>
      <c r="E134" s="252">
        <f t="shared" si="15"/>
        <v>0.00115</v>
      </c>
      <c r="F134" s="257"/>
      <c r="G134" s="1"/>
      <c r="H134" s="206"/>
    </row>
    <row r="135">
      <c r="A135" s="248" t="s">
        <v>286</v>
      </c>
      <c r="B135" s="249" t="str">
        <f>IFERROR(__xludf.DUMMYFUNCTION("VLOOKUP(A135,IMPORTRANGE(""https://docs.google.com/spreadsheets/d/1oJmkDK37Qizzdaxn4KCwh1BMwdNWuHCx3AGH8BC9yu0/edit?gid=781951868#gid=781951868"",""キャラ!D:F""),3,false)"),"わくわく アーニャ")</f>
        <v>わくわく アーニャ</v>
      </c>
      <c r="C135" s="255" t="s">
        <v>269</v>
      </c>
      <c r="D135" s="251">
        <f t="shared" si="14"/>
        <v>270</v>
      </c>
      <c r="E135" s="252">
        <f t="shared" si="15"/>
        <v>0.00115</v>
      </c>
      <c r="F135" s="257"/>
      <c r="G135" s="1"/>
      <c r="H135" s="206"/>
    </row>
    <row r="136">
      <c r="A136" s="248" t="s">
        <v>287</v>
      </c>
      <c r="B136" s="249" t="str">
        <f>IFERROR(__xludf.DUMMYFUNCTION("VLOOKUP(A136,IMPORTRANGE(""https://docs.google.com/spreadsheets/d/1oJmkDK37Qizzdaxn4KCwh1BMwdNWuHCx3AGH8BC9yu0/edit?gid=781951868#gid=781951868"",""キャラ!D:F""),3,false)"),"ターボババアの霊力 オカルン")</f>
        <v>ターボババアの霊力 オカルン</v>
      </c>
      <c r="C136" s="255" t="s">
        <v>269</v>
      </c>
      <c r="D136" s="251">
        <f t="shared" si="14"/>
        <v>270</v>
      </c>
      <c r="E136" s="252">
        <f t="shared" si="15"/>
        <v>0.00115</v>
      </c>
      <c r="F136" s="257"/>
      <c r="G136" s="1"/>
      <c r="H136" s="206"/>
    </row>
    <row r="137">
      <c r="A137" s="248" t="s">
        <v>288</v>
      </c>
      <c r="B137" s="249" t="str">
        <f>IFERROR(__xludf.DUMMYFUNCTION("VLOOKUP(A137,IMPORTRANGE(""https://docs.google.com/spreadsheets/d/1oJmkDK37Qizzdaxn4KCwh1BMwdNWuHCx3AGH8BC9yu0/edit?gid=781951868#gid=781951868"",""キャラ!D:F""),3,false)"),"囚われの王女 姫様")</f>
        <v>囚われの王女 姫様</v>
      </c>
      <c r="C137" s="255" t="s">
        <v>269</v>
      </c>
      <c r="D137" s="251">
        <f t="shared" si="14"/>
        <v>270</v>
      </c>
      <c r="E137" s="252">
        <f t="shared" si="15"/>
        <v>0.00115</v>
      </c>
      <c r="F137" s="257"/>
      <c r="G137" s="1"/>
      <c r="H137" s="206"/>
    </row>
    <row r="138">
      <c r="A138" s="248" t="s">
        <v>289</v>
      </c>
      <c r="B138" s="249" t="str">
        <f>IFERROR(__xludf.DUMMYFUNCTION("VLOOKUP(A138,IMPORTRANGE(""https://docs.google.com/spreadsheets/d/1oJmkDK37Qizzdaxn4KCwh1BMwdNWuHCx3AGH8BC9yu0/edit?gid=781951868#gid=781951868"",""キャラ!D:F""),3,false)"),"悪魔が恐れる悪魔 チェンソーマン")</f>
        <v>悪魔が恐れる悪魔 チェンソーマン</v>
      </c>
      <c r="C138" s="255" t="s">
        <v>269</v>
      </c>
      <c r="D138" s="251">
        <f t="shared" si="14"/>
        <v>270</v>
      </c>
      <c r="E138" s="252">
        <f t="shared" si="15"/>
        <v>0.00115</v>
      </c>
      <c r="F138" s="257"/>
      <c r="G138" s="1"/>
      <c r="H138" s="206"/>
    </row>
    <row r="139">
      <c r="A139" s="248" t="s">
        <v>290</v>
      </c>
      <c r="B139" s="249" t="str">
        <f>IFERROR(__xludf.DUMMYFUNCTION("VLOOKUP(A139,IMPORTRANGE(""https://docs.google.com/spreadsheets/d/1oJmkDK37Qizzdaxn4KCwh1BMwdNWuHCx3AGH8BC9yu0/edit?gid=781951868#gid=781951868"",""キャラ!D:F""),3,false)"),"隠された英雄の姿 怪獣８号")</f>
        <v>隠された英雄の姿 怪獣８号</v>
      </c>
      <c r="C139" s="255" t="s">
        <v>269</v>
      </c>
      <c r="D139" s="251">
        <f t="shared" si="14"/>
        <v>270</v>
      </c>
      <c r="E139" s="252">
        <f t="shared" si="15"/>
        <v>0.00115</v>
      </c>
      <c r="F139" s="257"/>
      <c r="G139" s="1"/>
      <c r="H139" s="206"/>
    </row>
    <row r="140">
      <c r="A140" s="248" t="s">
        <v>291</v>
      </c>
      <c r="B140" s="249" t="str">
        <f>IFERROR(__xludf.DUMMYFUNCTION("VLOOKUP(A140,IMPORTRANGE(""https://docs.google.com/spreadsheets/d/1oJmkDK37Qizzdaxn4KCwh1BMwdNWuHCx3AGH8BC9yu0/edit?gid=781951868#gid=781951868"",""キャラ!D:F""),3,false)"),"リリエルに捧ぐ愛 天乃 リリサ")</f>
        <v>リリエルに捧ぐ愛 天乃 リリサ</v>
      </c>
      <c r="C140" s="255" t="s">
        <v>269</v>
      </c>
      <c r="D140" s="251">
        <f t="shared" si="14"/>
        <v>270</v>
      </c>
      <c r="E140" s="252">
        <f t="shared" si="15"/>
        <v>0.00115</v>
      </c>
      <c r="F140" s="257"/>
      <c r="G140" s="1"/>
      <c r="H140" s="206"/>
    </row>
    <row r="141">
      <c r="A141" s="248" t="s">
        <v>292</v>
      </c>
      <c r="B141" s="249" t="str">
        <f>IFERROR(__xludf.DUMMYFUNCTION("VLOOKUP(A141,IMPORTRANGE(""https://docs.google.com/spreadsheets/d/1oJmkDK37Qizzdaxn4KCwh1BMwdNWuHCx3AGH8BC9yu0/edit?gid=781951868#gid=781951868"",""キャラ!D:F""),3,false)"),"コスプレに託す乙女心 橘 美花莉")</f>
        <v>コスプレに託す乙女心 橘 美花莉</v>
      </c>
      <c r="C141" s="255" t="s">
        <v>269</v>
      </c>
      <c r="D141" s="251">
        <f t="shared" si="14"/>
        <v>270</v>
      </c>
      <c r="E141" s="252">
        <f t="shared" si="15"/>
        <v>0.00115</v>
      </c>
      <c r="F141" s="257"/>
      <c r="G141" s="1"/>
      <c r="H141" s="206"/>
    </row>
    <row r="142">
      <c r="A142" s="248" t="s">
        <v>293</v>
      </c>
      <c r="B142" s="249" t="str">
        <f>IFERROR(__xludf.DUMMYFUNCTION("VLOOKUP(A142,IMPORTRANGE(""https://docs.google.com/spreadsheets/d/1oJmkDK37Qizzdaxn4KCwh1BMwdNWuHCx3AGH8BC9yu0/edit?gid=781951868#gid=781951868"",""キャラ!D:F""),3,false)"),"誇り高き魔都の剣姫 羽前 京香")</f>
        <v>誇り高き魔都の剣姫 羽前 京香</v>
      </c>
      <c r="C142" s="255" t="s">
        <v>269</v>
      </c>
      <c r="D142" s="251">
        <f t="shared" si="14"/>
        <v>270</v>
      </c>
      <c r="E142" s="252">
        <f t="shared" si="15"/>
        <v>0.00115</v>
      </c>
      <c r="F142" s="257"/>
      <c r="G142" s="1"/>
      <c r="H142" s="206"/>
    </row>
    <row r="143">
      <c r="A143" s="248" t="s">
        <v>294</v>
      </c>
      <c r="B143" s="249" t="str">
        <f>IFERROR(__xludf.DUMMYFUNCTION("VLOOKUP(A143,IMPORTRANGE(""https://docs.google.com/spreadsheets/d/1oJmkDK37Qizzdaxn4KCwh1BMwdNWuHCx3AGH8BC9yu0/edit?gid=781951868#gid=781951868"",""キャラ!D:F""),3,false)"),"がらんの画眉丸")</f>
        <v>がらんの画眉丸</v>
      </c>
      <c r="C143" s="255" t="s">
        <v>269</v>
      </c>
      <c r="D143" s="251">
        <f t="shared" si="14"/>
        <v>270</v>
      </c>
      <c r="E143" s="252">
        <f t="shared" si="15"/>
        <v>0.00115</v>
      </c>
      <c r="F143" s="257"/>
      <c r="G143" s="1"/>
      <c r="H143" s="206"/>
    </row>
    <row r="144">
      <c r="A144" s="248" t="s">
        <v>295</v>
      </c>
      <c r="B144" s="249" t="str">
        <f>IFERROR(__xludf.DUMMYFUNCTION("VLOOKUP(A144,IMPORTRANGE(""https://docs.google.com/spreadsheets/d/1oJmkDK37Qizzdaxn4KCwh1BMwdNWuHCx3AGH8BC9yu0/edit?gid=781951868#gid=781951868"",""キャラ!D:F""),3,false)"),"新人魔法少女 桜木 カナ")</f>
        <v>新人魔法少女 桜木 カナ</v>
      </c>
      <c r="C144" s="255" t="s">
        <v>269</v>
      </c>
      <c r="D144" s="251">
        <f t="shared" si="14"/>
        <v>270</v>
      </c>
      <c r="E144" s="252">
        <f t="shared" si="15"/>
        <v>0.00115</v>
      </c>
      <c r="F144" s="257"/>
      <c r="G144" s="1"/>
      <c r="H144" s="206"/>
    </row>
    <row r="145">
      <c r="A145" s="248" t="s">
        <v>296</v>
      </c>
      <c r="B145" s="249" t="str">
        <f>IFERROR(__xludf.DUMMYFUNCTION("VLOOKUP(A145,IMPORTRANGE(""https://docs.google.com/spreadsheets/d/1oJmkDK37Qizzdaxn4KCwh1BMwdNWuHCx3AGH8BC9yu0/edit?gid=781951868#gid=781951868"",""キャラ!D:F""),3,false)"),"影のウシオ 小舟 潮")</f>
        <v>影のウシオ 小舟 潮</v>
      </c>
      <c r="C145" s="255" t="s">
        <v>269</v>
      </c>
      <c r="D145" s="251">
        <f t="shared" si="14"/>
        <v>270</v>
      </c>
      <c r="E145" s="252">
        <f t="shared" si="15"/>
        <v>0.00115</v>
      </c>
      <c r="F145" s="264"/>
      <c r="G145" s="1"/>
      <c r="H145" s="206"/>
    </row>
    <row r="146">
      <c r="A146" s="248" t="s">
        <v>297</v>
      </c>
      <c r="B146" s="249" t="str">
        <f>IFERROR(__xludf.DUMMYFUNCTION("VLOOKUP(A146,IMPORTRANGE(""https://docs.google.com/spreadsheets/d/1oJmkDK37Qizzdaxn4KCwh1BMwdNWuHCx3AGH8BC9yu0/edit?gid=781951868#gid=781951868"",""キャラ!D:F""),3,false)"),"保科 宗四郎")</f>
        <v>保科 宗四郎</v>
      </c>
      <c r="C146" s="328" t="s">
        <v>388</v>
      </c>
      <c r="D146" s="251">
        <f t="shared" si="14"/>
        <v>3510</v>
      </c>
      <c r="E146" s="252">
        <f>IFERROR(rounddown($F$87/$C$64,5),"0%")</f>
        <v>0.015</v>
      </c>
      <c r="F146" s="285">
        <v>0.015</v>
      </c>
      <c r="G146" s="1"/>
      <c r="H146" s="206"/>
    </row>
    <row r="147">
      <c r="A147" s="263" t="s">
        <v>304</v>
      </c>
      <c r="B147" s="249" t="str">
        <f>IFERROR(__xludf.DUMMYFUNCTION("VLOOKUP(A147,IMPORTRANGE(""https://docs.google.com/spreadsheets/d/1oJmkDK37Qizzdaxn4KCwh1BMwdNWuHCx3AGH8BC9yu0/edit?gid=781951868#gid=781951868"",""キャラ!D:F""),3,false)"),"モモ")</f>
        <v>モモ</v>
      </c>
      <c r="C147" s="265" t="s">
        <v>270</v>
      </c>
      <c r="D147" s="251">
        <f t="shared" si="14"/>
        <v>2210</v>
      </c>
      <c r="E147" s="252">
        <f t="shared" ref="E147:E155" si="16">IFERROR(rounddown($F$147/$C$124,5),"0%")</f>
        <v>0.00944</v>
      </c>
      <c r="F147" s="285">
        <v>0.085</v>
      </c>
      <c r="G147" s="1"/>
      <c r="H147" s="206"/>
    </row>
    <row r="148">
      <c r="A148" s="263" t="s">
        <v>305</v>
      </c>
      <c r="B148" s="249" t="str">
        <f>IFERROR(__xludf.DUMMYFUNCTION("VLOOKUP(A148,IMPORTRANGE(""https://docs.google.com/spreadsheets/d/1oJmkDK37Qizzdaxn4KCwh1BMwdNWuHCx3AGH8BC9yu0/edit?gid=781951868#gid=781951868"",""キャラ!D:F""),3,false)"),"早川 アキ")</f>
        <v>早川 アキ</v>
      </c>
      <c r="C148" s="265" t="s">
        <v>270</v>
      </c>
      <c r="D148" s="251">
        <f t="shared" si="14"/>
        <v>2210</v>
      </c>
      <c r="E148" s="252">
        <f t="shared" si="16"/>
        <v>0.00944</v>
      </c>
      <c r="F148" s="257"/>
      <c r="G148" s="1"/>
      <c r="H148" s="206"/>
    </row>
    <row r="149">
      <c r="A149" s="263" t="s">
        <v>306</v>
      </c>
      <c r="B149" s="249" t="str">
        <f>IFERROR(__xludf.DUMMYFUNCTION("VLOOKUP(A149,IMPORTRANGE(""https://docs.google.com/spreadsheets/d/1oJmkDK37Qizzdaxn4KCwh1BMwdNWuHCx3AGH8BC9yu0/edit?gid=781951868#gid=781951868"",""キャラ!D:F""),3,false)"),"パワー")</f>
        <v>パワー</v>
      </c>
      <c r="C149" s="265" t="s">
        <v>270</v>
      </c>
      <c r="D149" s="251">
        <f t="shared" si="14"/>
        <v>2210</v>
      </c>
      <c r="E149" s="252">
        <f t="shared" si="16"/>
        <v>0.00944</v>
      </c>
      <c r="F149" s="257"/>
      <c r="G149" s="1"/>
      <c r="H149" s="206"/>
    </row>
    <row r="150">
      <c r="A150" s="263" t="s">
        <v>307</v>
      </c>
      <c r="B150" s="249" t="str">
        <f>IFERROR(__xludf.DUMMYFUNCTION("VLOOKUP(A150,IMPORTRANGE(""https://docs.google.com/spreadsheets/d/1oJmkDK37Qizzdaxn4KCwh1BMwdNWuHCx3AGH8BC9yu0/edit?gid=781951868#gid=781951868"",""キャラ!D:F""),3,false)"),"四ノ宮 キコル")</f>
        <v>四ノ宮 キコル</v>
      </c>
      <c r="C150" s="265" t="s">
        <v>270</v>
      </c>
      <c r="D150" s="251">
        <f t="shared" si="14"/>
        <v>2210</v>
      </c>
      <c r="E150" s="252">
        <f t="shared" si="16"/>
        <v>0.00944</v>
      </c>
      <c r="F150" s="257"/>
      <c r="G150" s="1"/>
      <c r="H150" s="206"/>
    </row>
    <row r="151">
      <c r="A151" s="263" t="s">
        <v>308</v>
      </c>
      <c r="B151" s="249" t="str">
        <f>IFERROR(__xludf.DUMMYFUNCTION("VLOOKUP(A151,IMPORTRANGE(""https://docs.google.com/spreadsheets/d/1oJmkDK37Qizzdaxn4KCwh1BMwdNWuHCx3AGH8BC9yu0/edit?gid=781951868#gid=781951868"",""キャラ!D:F""),3,false)"),"鴨乃橋 ロン")</f>
        <v>鴨乃橋 ロン</v>
      </c>
      <c r="C151" s="265" t="s">
        <v>270</v>
      </c>
      <c r="D151" s="251">
        <f t="shared" si="14"/>
        <v>2210</v>
      </c>
      <c r="E151" s="252">
        <f t="shared" si="16"/>
        <v>0.00944</v>
      </c>
      <c r="F151" s="257"/>
      <c r="G151" s="1"/>
      <c r="H151" s="206"/>
    </row>
    <row r="152">
      <c r="A152" s="263" t="s">
        <v>309</v>
      </c>
      <c r="B152" s="249" t="str">
        <f>IFERROR(__xludf.DUMMYFUNCTION("VLOOKUP(A152,IMPORTRANGE(""https://docs.google.com/spreadsheets/d/1oJmkDK37Qizzdaxn4KCwh1BMwdNWuHCx3AGH8BC9yu0/edit?gid=781951868#gid=781951868"",""キャラ!D:F""),3,false)"),"阿波連 れいな")</f>
        <v>阿波連 れいな</v>
      </c>
      <c r="C152" s="265" t="s">
        <v>270</v>
      </c>
      <c r="D152" s="251">
        <f t="shared" si="14"/>
        <v>2210</v>
      </c>
      <c r="E152" s="252">
        <f t="shared" si="16"/>
        <v>0.00944</v>
      </c>
      <c r="F152" s="257"/>
      <c r="G152" s="1"/>
      <c r="H152" s="206"/>
    </row>
    <row r="153">
      <c r="A153" s="263" t="s">
        <v>310</v>
      </c>
      <c r="B153" s="249" t="str">
        <f>IFERROR(__xludf.DUMMYFUNCTION("VLOOKUP(A153,IMPORTRANGE(""https://docs.google.com/spreadsheets/d/1oJmkDK37Qizzdaxn4KCwh1BMwdNWuHCx3AGH8BC9yu0/edit?gid=781951868#gid=781951868"",""キャラ!D:F""),3,false)"),"山田浅ェ門 佐切")</f>
        <v>山田浅ェ門 佐切</v>
      </c>
      <c r="C153" s="265" t="s">
        <v>270</v>
      </c>
      <c r="D153" s="251">
        <f t="shared" si="14"/>
        <v>2210</v>
      </c>
      <c r="E153" s="252">
        <f t="shared" si="16"/>
        <v>0.00944</v>
      </c>
      <c r="F153" s="257"/>
      <c r="G153" s="7"/>
      <c r="H153" s="206"/>
    </row>
    <row r="154">
      <c r="A154" s="263" t="s">
        <v>311</v>
      </c>
      <c r="B154" s="249" t="str">
        <f>IFERROR(__xludf.DUMMYFUNCTION("VLOOKUP(A154,IMPORTRANGE(""https://docs.google.com/spreadsheets/d/1oJmkDK37Qizzdaxn4KCwh1BMwdNWuHCx3AGH8BC9yu0/edit?gid=781951868#gid=781951868"",""キャラ!D:F""),3,false)"),"冬木 美波")</f>
        <v>冬木 美波</v>
      </c>
      <c r="C154" s="265" t="s">
        <v>270</v>
      </c>
      <c r="D154" s="251">
        <f t="shared" si="14"/>
        <v>2210</v>
      </c>
      <c r="E154" s="252">
        <f t="shared" si="16"/>
        <v>0.00944</v>
      </c>
      <c r="F154" s="257"/>
      <c r="G154" s="1"/>
      <c r="H154" s="206"/>
    </row>
    <row r="155">
      <c r="A155" s="263" t="s">
        <v>312</v>
      </c>
      <c r="B155" s="249" t="str">
        <f>IFERROR(__xludf.DUMMYFUNCTION("VLOOKUP(A155,IMPORTRANGE(""https://docs.google.com/spreadsheets/d/1oJmkDK37Qizzdaxn4KCwh1BMwdNWuHCx3AGH8BC9yu0/edit?gid=781951868#gid=781951868"",""キャラ!D:F""),3,false)"),"秋野 沙友理")</f>
        <v>秋野 沙友理</v>
      </c>
      <c r="C155" s="265" t="s">
        <v>270</v>
      </c>
      <c r="D155" s="251">
        <f t="shared" si="14"/>
        <v>2210</v>
      </c>
      <c r="E155" s="252">
        <f t="shared" si="16"/>
        <v>0.00944</v>
      </c>
      <c r="F155" s="264"/>
      <c r="G155" s="1"/>
      <c r="H155" s="206"/>
    </row>
    <row r="156">
      <c r="A156" s="248" t="s">
        <v>313</v>
      </c>
      <c r="B156" s="249" t="str">
        <f>IFERROR(__xludf.DUMMYFUNCTION("VLOOKUP(A156,IMPORTRANGE(""https://docs.google.com/spreadsheets/d/1oJmkDK37Qizzdaxn4KCwh1BMwdNWuHCx3AGH8BC9yu0/edit?gid=781951868#gid=781951868"",""キャラ!D:F""),3,false)"),"トーチャー・トルチュール")</f>
        <v>トーチャー・トルチュール</v>
      </c>
      <c r="C156" s="268" t="s">
        <v>271</v>
      </c>
      <c r="D156" s="251">
        <f t="shared" si="14"/>
        <v>20358</v>
      </c>
      <c r="E156" s="252">
        <f t="shared" ref="E156:E165" si="17">IFERROR(rounddown($F$156/$C$125,5),"0%")</f>
        <v>0.087</v>
      </c>
      <c r="F156" s="330">
        <v>0.87</v>
      </c>
      <c r="G156" s="1"/>
      <c r="H156" s="206"/>
    </row>
    <row r="157">
      <c r="A157" s="248" t="s">
        <v>314</v>
      </c>
      <c r="B157" s="249" t="str">
        <f>IFERROR(__xludf.DUMMYFUNCTION("VLOOKUP(A157,IMPORTRANGE(""https://docs.google.com/spreadsheets/d/1oJmkDK37Qizzdaxn4KCwh1BMwdNWuHCx3AGH8BC9yu0/edit?gid=781951868#gid=781951868"",""キャラ!D:F""),3,false)"),"清峰 葉流火")</f>
        <v>清峰 葉流火</v>
      </c>
      <c r="C157" s="268" t="s">
        <v>271</v>
      </c>
      <c r="D157" s="251">
        <f t="shared" si="14"/>
        <v>20358</v>
      </c>
      <c r="E157" s="252">
        <f t="shared" si="17"/>
        <v>0.087</v>
      </c>
      <c r="F157" s="257"/>
      <c r="G157" s="1"/>
      <c r="H157" s="206"/>
    </row>
    <row r="158">
      <c r="A158" s="248" t="s">
        <v>315</v>
      </c>
      <c r="B158" s="249" t="str">
        <f>IFERROR(__xludf.DUMMYFUNCTION("VLOOKUP(A158,IMPORTRANGE(""https://docs.google.com/spreadsheets/d/1oJmkDK37Qizzdaxn4KCwh1BMwdNWuHCx3AGH8BC9yu0/edit?gid=781951868#gid=781951868"",""キャラ!D:F""),3,false)"),"要 圭")</f>
        <v>要 圭</v>
      </c>
      <c r="C158" s="268" t="s">
        <v>271</v>
      </c>
      <c r="D158" s="251">
        <f t="shared" si="14"/>
        <v>20358</v>
      </c>
      <c r="E158" s="252">
        <f t="shared" si="17"/>
        <v>0.087</v>
      </c>
      <c r="F158" s="257"/>
      <c r="G158" s="1"/>
      <c r="H158" s="206"/>
    </row>
    <row r="159">
      <c r="A159" s="248" t="s">
        <v>316</v>
      </c>
      <c r="B159" s="249" t="str">
        <f>IFERROR(__xludf.DUMMYFUNCTION("VLOOKUP(A159,IMPORTRANGE(""https://docs.google.com/spreadsheets/d/1oJmkDK37Qizzdaxn4KCwh1BMwdNWuHCx3AGH8BC9yu0/edit?gid=781951868#gid=781951868"",""キャラ!D:F""),3,false)"),"市川 レノ")</f>
        <v>市川 レノ</v>
      </c>
      <c r="C159" s="268" t="s">
        <v>271</v>
      </c>
      <c r="D159" s="251">
        <f t="shared" si="14"/>
        <v>20358</v>
      </c>
      <c r="E159" s="252">
        <f t="shared" si="17"/>
        <v>0.087</v>
      </c>
      <c r="F159" s="257"/>
      <c r="G159" s="1"/>
      <c r="H159" s="206"/>
    </row>
    <row r="160">
      <c r="A160" s="248" t="s">
        <v>317</v>
      </c>
      <c r="B160" s="249" t="str">
        <f>IFERROR(__xludf.DUMMYFUNCTION("VLOOKUP(A160,IMPORTRANGE(""https://docs.google.com/spreadsheets/d/1oJmkDK37Qizzdaxn4KCwh1BMwdNWuHCx3AGH8BC9yu0/edit?gid=781951868#gid=781951868"",""キャラ!D:F""),3,false)"),"東 日万凛")</f>
        <v>東 日万凛</v>
      </c>
      <c r="C160" s="268" t="s">
        <v>271</v>
      </c>
      <c r="D160" s="251">
        <f t="shared" si="14"/>
        <v>20358</v>
      </c>
      <c r="E160" s="252">
        <f t="shared" si="17"/>
        <v>0.087</v>
      </c>
      <c r="F160" s="257"/>
      <c r="G160" s="1"/>
      <c r="H160" s="206"/>
    </row>
    <row r="161">
      <c r="A161" s="248" t="s">
        <v>318</v>
      </c>
      <c r="B161" s="249" t="str">
        <f>IFERROR(__xludf.DUMMYFUNCTION("VLOOKUP(A161,IMPORTRANGE(""https://docs.google.com/spreadsheets/d/1oJmkDK37Qizzdaxn4KCwh1BMwdNWuHCx3AGH8BC9yu0/edit?gid=781951868#gid=781951868"",""キャラ!D:F""),3,false)"),"駿河 朱々")</f>
        <v>駿河 朱々</v>
      </c>
      <c r="C161" s="268" t="s">
        <v>271</v>
      </c>
      <c r="D161" s="251">
        <f t="shared" si="14"/>
        <v>20358</v>
      </c>
      <c r="E161" s="252">
        <f t="shared" si="17"/>
        <v>0.087</v>
      </c>
      <c r="F161" s="257"/>
      <c r="G161" s="1"/>
      <c r="H161" s="206"/>
    </row>
    <row r="162">
      <c r="A162" s="248" t="s">
        <v>319</v>
      </c>
      <c r="B162" s="249" t="str">
        <f>IFERROR(__xludf.DUMMYFUNCTION("VLOOKUP(A162,IMPORTRANGE(""https://docs.google.com/spreadsheets/d/1oJmkDK37Qizzdaxn4KCwh1BMwdNWuHCx3AGH8BC9yu0/edit?gid=781951868#gid=781951868"",""キャラ!D:F""),3,false)"),"ライドウ")</f>
        <v>ライドウ</v>
      </c>
      <c r="C162" s="268" t="s">
        <v>271</v>
      </c>
      <c r="D162" s="251">
        <f t="shared" si="14"/>
        <v>20358</v>
      </c>
      <c r="E162" s="252">
        <f t="shared" si="17"/>
        <v>0.087</v>
      </c>
      <c r="F162" s="257"/>
      <c r="G162" s="1"/>
      <c r="H162" s="206"/>
    </row>
    <row r="163">
      <c r="A163" s="248" t="s">
        <v>320</v>
      </c>
      <c r="B163" s="249" t="str">
        <f>IFERROR(__xludf.DUMMYFUNCTION("VLOOKUP(A163,IMPORTRANGE(""https://docs.google.com/spreadsheets/d/1oJmkDK37Qizzdaxn4KCwh1BMwdNWuHCx3AGH8BC9yu0/edit?gid=781951868#gid=781951868"",""キャラ!D:F""),3,false)"),"山田浅ェ門 仙汰")</f>
        <v>山田浅ェ門 仙汰</v>
      </c>
      <c r="C163" s="268" t="s">
        <v>271</v>
      </c>
      <c r="D163" s="251">
        <f t="shared" si="14"/>
        <v>20358</v>
      </c>
      <c r="E163" s="252">
        <f t="shared" si="17"/>
        <v>0.087</v>
      </c>
      <c r="F163" s="257"/>
      <c r="G163" s="1"/>
      <c r="H163" s="206"/>
    </row>
    <row r="164">
      <c r="A164" s="248" t="s">
        <v>321</v>
      </c>
      <c r="B164" s="249" t="str">
        <f>IFERROR(__xludf.DUMMYFUNCTION("VLOOKUP(A164,IMPORTRANGE(""https://docs.google.com/spreadsheets/d/1oJmkDK37Qizzdaxn4KCwh1BMwdNWuHCx3AGH8BC9yu0/edit?gid=781951868#gid=781951868"",""キャラ!D:F""),3,false)"),"越谷 仁美")</f>
        <v>越谷 仁美</v>
      </c>
      <c r="C164" s="268" t="s">
        <v>271</v>
      </c>
      <c r="D164" s="251">
        <f t="shared" si="14"/>
        <v>20358</v>
      </c>
      <c r="E164" s="252">
        <f t="shared" si="17"/>
        <v>0.087</v>
      </c>
      <c r="F164" s="257"/>
      <c r="G164" s="1"/>
      <c r="H164" s="206"/>
    </row>
    <row r="165">
      <c r="A165" s="248" t="s">
        <v>322</v>
      </c>
      <c r="B165" s="249" t="str">
        <f>IFERROR(__xludf.DUMMYFUNCTION("VLOOKUP(A165,IMPORTRANGE(""https://docs.google.com/spreadsheets/d/1oJmkDK37Qizzdaxn4KCwh1BMwdNWuHCx3AGH8BC9yu0/edit?gid=781951868#gid=781951868"",""キャラ!D:F""),3,false)"),"小舟 澪")</f>
        <v>小舟 澪</v>
      </c>
      <c r="C165" s="268" t="s">
        <v>271</v>
      </c>
      <c r="D165" s="251">
        <f t="shared" si="14"/>
        <v>20358</v>
      </c>
      <c r="E165" s="252">
        <f t="shared" si="17"/>
        <v>0.087</v>
      </c>
      <c r="F165" s="264"/>
      <c r="G165" s="1"/>
      <c r="H165" s="206"/>
    </row>
    <row r="166">
      <c r="A166" s="331"/>
      <c r="B166" s="287"/>
      <c r="C166" s="332"/>
      <c r="D166" s="289"/>
      <c r="E166" s="270">
        <f t="shared" ref="E166:F166" si="18">sum(E131:E165)</f>
        <v>0.99991</v>
      </c>
      <c r="F166" s="271">
        <f t="shared" si="18"/>
        <v>1</v>
      </c>
      <c r="G166" s="1"/>
      <c r="H166" s="1"/>
    </row>
    <row r="167">
      <c r="A167" s="331"/>
      <c r="B167" s="287"/>
      <c r="C167" s="332"/>
      <c r="D167" s="289"/>
      <c r="E167" s="290"/>
      <c r="F167" s="333"/>
      <c r="G167" s="1"/>
      <c r="H167" s="1"/>
    </row>
    <row r="168">
      <c r="A168" s="331"/>
      <c r="B168" s="287"/>
      <c r="C168" s="332"/>
      <c r="D168" s="289"/>
      <c r="E168" s="290"/>
      <c r="F168" s="333"/>
      <c r="G168" s="1"/>
      <c r="H168" s="1"/>
    </row>
    <row r="169">
      <c r="A169" s="336" t="s">
        <v>332</v>
      </c>
      <c r="B169" s="203"/>
      <c r="C169" s="203"/>
      <c r="D169" s="204"/>
      <c r="E169" s="274"/>
      <c r="F169" s="275"/>
      <c r="G169" s="204"/>
      <c r="H169" s="205"/>
    </row>
    <row r="170">
      <c r="A170" s="68"/>
      <c r="B170" s="68"/>
      <c r="C170" s="68"/>
      <c r="D170" s="1"/>
      <c r="E170" s="130"/>
      <c r="F170" s="272"/>
      <c r="G170" s="1"/>
      <c r="H170" s="206"/>
    </row>
    <row r="171">
      <c r="A171" s="68"/>
      <c r="B171" s="276" t="s">
        <v>264</v>
      </c>
      <c r="C171" s="276" t="s">
        <v>265</v>
      </c>
      <c r="D171" s="229" t="s">
        <v>266</v>
      </c>
      <c r="E171" s="277" t="s">
        <v>267</v>
      </c>
      <c r="F171" s="272"/>
      <c r="G171" s="1"/>
      <c r="H171" s="206"/>
    </row>
    <row r="172">
      <c r="A172" s="68" t="s">
        <v>268</v>
      </c>
      <c r="B172" s="321">
        <v>0.015</v>
      </c>
      <c r="C172" s="278">
        <f t="shared" ref="C172:C175" si="19">countif($C$131:$C$165,A172)</f>
        <v>2</v>
      </c>
      <c r="D172" s="232">
        <f t="shared" ref="D172:D175" si="20">$D$177*B172</f>
        <v>3510</v>
      </c>
      <c r="E172" s="233">
        <f t="shared" ref="E172:E175" si="21">IFERROR(D172/C172,"0")</f>
        <v>1755</v>
      </c>
      <c r="F172" s="272"/>
      <c r="G172" s="1"/>
      <c r="H172" s="206"/>
    </row>
    <row r="173">
      <c r="A173" s="68" t="s">
        <v>269</v>
      </c>
      <c r="B173" s="322">
        <v>0.015</v>
      </c>
      <c r="C173" s="278">
        <f t="shared" si="19"/>
        <v>13</v>
      </c>
      <c r="D173" s="232">
        <f t="shared" si="20"/>
        <v>3510</v>
      </c>
      <c r="E173" s="233">
        <f t="shared" si="21"/>
        <v>270</v>
      </c>
      <c r="F173" s="272"/>
      <c r="G173" s="1"/>
      <c r="H173" s="206"/>
    </row>
    <row r="174">
      <c r="A174" s="68" t="s">
        <v>388</v>
      </c>
      <c r="B174" s="321">
        <v>0.1</v>
      </c>
      <c r="C174" s="278">
        <f t="shared" si="19"/>
        <v>1</v>
      </c>
      <c r="D174" s="232">
        <f t="shared" si="20"/>
        <v>23400</v>
      </c>
      <c r="E174" s="233">
        <f t="shared" si="21"/>
        <v>23400</v>
      </c>
      <c r="F174" s="272"/>
      <c r="G174" s="1"/>
      <c r="H174" s="206"/>
    </row>
    <row r="175">
      <c r="A175" s="68" t="s">
        <v>270</v>
      </c>
      <c r="B175" s="322">
        <v>0.87</v>
      </c>
      <c r="C175" s="278">
        <f t="shared" si="19"/>
        <v>9</v>
      </c>
      <c r="D175" s="232">
        <f t="shared" si="20"/>
        <v>203580</v>
      </c>
      <c r="E175" s="233">
        <f t="shared" si="21"/>
        <v>22620</v>
      </c>
      <c r="F175" s="272"/>
      <c r="G175" s="1"/>
      <c r="H175" s="206"/>
    </row>
    <row r="176">
      <c r="A176" s="280"/>
      <c r="B176" s="281"/>
      <c r="C176" s="68"/>
      <c r="D176" s="282"/>
      <c r="E176" s="241"/>
      <c r="F176" s="272"/>
      <c r="G176" s="1"/>
      <c r="H176" s="206"/>
    </row>
    <row r="177">
      <c r="A177" s="278" t="s">
        <v>93</v>
      </c>
      <c r="B177" s="238">
        <f t="shared" ref="B177:C177" si="22">sum(B172:B176)</f>
        <v>1</v>
      </c>
      <c r="C177" s="283">
        <f t="shared" si="22"/>
        <v>25</v>
      </c>
      <c r="D177" s="323">
        <v>234000.0</v>
      </c>
      <c r="E177" s="130"/>
      <c r="F177" s="272"/>
      <c r="G177" s="1"/>
      <c r="H177" s="206"/>
    </row>
    <row r="178">
      <c r="A178" s="68"/>
      <c r="B178" s="68"/>
      <c r="C178" s="278">
        <f>COUNTA(C181:C213)</f>
        <v>28</v>
      </c>
      <c r="D178" s="1"/>
      <c r="E178" s="130"/>
      <c r="F178" s="272"/>
      <c r="G178" s="1"/>
      <c r="H178" s="206"/>
    </row>
    <row r="179">
      <c r="A179" s="68"/>
      <c r="B179" s="68"/>
      <c r="C179" s="68"/>
      <c r="D179" s="1"/>
      <c r="E179" s="130"/>
      <c r="F179" s="272"/>
      <c r="G179" s="1"/>
      <c r="H179" s="206"/>
    </row>
    <row r="180">
      <c r="A180" s="243" t="s">
        <v>273</v>
      </c>
      <c r="B180" s="243" t="s">
        <v>274</v>
      </c>
      <c r="C180" s="243" t="s">
        <v>364</v>
      </c>
      <c r="D180" s="329" t="s">
        <v>276</v>
      </c>
      <c r="E180" s="247" t="s">
        <v>277</v>
      </c>
      <c r="F180" s="316" t="s">
        <v>278</v>
      </c>
      <c r="G180" s="1"/>
      <c r="H180" s="206"/>
    </row>
    <row r="181">
      <c r="A181" s="248" t="s">
        <v>279</v>
      </c>
      <c r="B181" s="249" t="str">
        <f>IFERROR(__xludf.DUMMYFUNCTION("VLOOKUP(A181,IMPORTRANGE(""https://docs.google.com/spreadsheets/d/1oJmkDK37Qizzdaxn4KCwh1BMwdNWuHCx3AGH8BC9yu0/edit?gid=781951868#gid=781951868"",""キャラ!D:F""),3,false)"),"第三部隊隊長 亜白 ミナ")</f>
        <v>第三部隊隊長 亜白 ミナ</v>
      </c>
      <c r="C181" s="250" t="s">
        <v>268</v>
      </c>
      <c r="D181" s="251">
        <f t="shared" ref="D181:D205" si="23">vlookup(C181,$A$172:$D$176,4,false)/vlookup(C181,$A$172:$D$176,3,false)</f>
        <v>1755</v>
      </c>
      <c r="E181" s="252">
        <f>IFERROR(rounddown(F181/$C$172,5),"0%")</f>
        <v>0.0075</v>
      </c>
      <c r="F181" s="330">
        <v>0.015</v>
      </c>
      <c r="G181" s="1" t="s">
        <v>389</v>
      </c>
      <c r="H181" s="206"/>
    </row>
    <row r="182">
      <c r="A182" s="248" t="s">
        <v>280</v>
      </c>
      <c r="B182" s="249" t="str">
        <f>IFERROR(__xludf.DUMMYFUNCTION("VLOOKUP(A182,IMPORTRANGE(""https://docs.google.com/spreadsheets/d/1oJmkDK37Qizzdaxn4KCwh1BMwdNWuHCx3AGH8BC9yu0/edit?gid=781951868#gid=781951868"",""キャラ!D:F""),3,false)"),"姉を想う盲愛 ユーリ・ブライア")</f>
        <v>姉を想う盲愛 ユーリ・ブライア</v>
      </c>
      <c r="C182" s="250" t="s">
        <v>268</v>
      </c>
      <c r="D182" s="251">
        <f t="shared" si="23"/>
        <v>1755</v>
      </c>
      <c r="E182" s="252">
        <f>IFERROR(rounddown(F181/$C$172,5),"0%")</f>
        <v>0.0075</v>
      </c>
      <c r="F182" s="257"/>
      <c r="G182" s="1"/>
      <c r="H182" s="206"/>
    </row>
    <row r="183">
      <c r="A183" s="248" t="s">
        <v>284</v>
      </c>
      <c r="B183" s="249" t="str">
        <f>IFERROR(__xludf.DUMMYFUNCTION("VLOOKUP(A183,IMPORTRANGE(""https://docs.google.com/spreadsheets/d/1oJmkDK37Qizzdaxn4KCwh1BMwdNWuHCx3AGH8BC9yu0/edit?gid=781951868#gid=781951868"",""キャラ!D:F""),3,false)"),"&lt;黄昏&gt; ロイド")</f>
        <v>&lt;黄昏&gt; ロイド</v>
      </c>
      <c r="C183" s="255" t="s">
        <v>269</v>
      </c>
      <c r="D183" s="251">
        <f t="shared" si="23"/>
        <v>270</v>
      </c>
      <c r="E183" s="252">
        <f t="shared" ref="E183:E195" si="24">IFERROR(rounddown($F$183/$C$173,5),"0%")</f>
        <v>0.00115</v>
      </c>
      <c r="F183" s="330">
        <v>0.015</v>
      </c>
      <c r="G183" s="1"/>
      <c r="H183" s="206"/>
    </row>
    <row r="184">
      <c r="A184" s="248" t="s">
        <v>285</v>
      </c>
      <c r="B184" s="249" t="str">
        <f>IFERROR(__xludf.DUMMYFUNCTION("VLOOKUP(A184,IMPORTRANGE(""https://docs.google.com/spreadsheets/d/1oJmkDK37Qizzdaxn4KCwh1BMwdNWuHCx3AGH8BC9yu0/edit?gid=781951868#gid=781951868"",""キャラ!D:F""),3,false)"),"&lt;いばら姫&gt; ヨル")</f>
        <v>&lt;いばら姫&gt; ヨル</v>
      </c>
      <c r="C184" s="255" t="s">
        <v>269</v>
      </c>
      <c r="D184" s="251">
        <f t="shared" si="23"/>
        <v>270</v>
      </c>
      <c r="E184" s="252">
        <f t="shared" si="24"/>
        <v>0.00115</v>
      </c>
      <c r="F184" s="257"/>
      <c r="G184" s="1"/>
      <c r="H184" s="206"/>
    </row>
    <row r="185">
      <c r="A185" s="248" t="s">
        <v>286</v>
      </c>
      <c r="B185" s="249" t="str">
        <f>IFERROR(__xludf.DUMMYFUNCTION("VLOOKUP(A185,IMPORTRANGE(""https://docs.google.com/spreadsheets/d/1oJmkDK37Qizzdaxn4KCwh1BMwdNWuHCx3AGH8BC9yu0/edit?gid=781951868#gid=781951868"",""キャラ!D:F""),3,false)"),"わくわく アーニャ")</f>
        <v>わくわく アーニャ</v>
      </c>
      <c r="C185" s="255" t="s">
        <v>269</v>
      </c>
      <c r="D185" s="251">
        <f t="shared" si="23"/>
        <v>270</v>
      </c>
      <c r="E185" s="252">
        <f t="shared" si="24"/>
        <v>0.00115</v>
      </c>
      <c r="F185" s="257"/>
      <c r="G185" s="1"/>
      <c r="H185" s="206"/>
    </row>
    <row r="186">
      <c r="A186" s="248" t="s">
        <v>287</v>
      </c>
      <c r="B186" s="249" t="str">
        <f>IFERROR(__xludf.DUMMYFUNCTION("VLOOKUP(A186,IMPORTRANGE(""https://docs.google.com/spreadsheets/d/1oJmkDK37Qizzdaxn4KCwh1BMwdNWuHCx3AGH8BC9yu0/edit?gid=781951868#gid=781951868"",""キャラ!D:F""),3,false)"),"ターボババアの霊力 オカルン")</f>
        <v>ターボババアの霊力 オカルン</v>
      </c>
      <c r="C186" s="255" t="s">
        <v>269</v>
      </c>
      <c r="D186" s="251">
        <f t="shared" si="23"/>
        <v>270</v>
      </c>
      <c r="E186" s="252">
        <f t="shared" si="24"/>
        <v>0.00115</v>
      </c>
      <c r="F186" s="257"/>
      <c r="G186" s="1"/>
      <c r="H186" s="206"/>
    </row>
    <row r="187">
      <c r="A187" s="248" t="s">
        <v>288</v>
      </c>
      <c r="B187" s="249" t="str">
        <f>IFERROR(__xludf.DUMMYFUNCTION("VLOOKUP(A187,IMPORTRANGE(""https://docs.google.com/spreadsheets/d/1oJmkDK37Qizzdaxn4KCwh1BMwdNWuHCx3AGH8BC9yu0/edit?gid=781951868#gid=781951868"",""キャラ!D:F""),3,false)"),"囚われの王女 姫様")</f>
        <v>囚われの王女 姫様</v>
      </c>
      <c r="C187" s="255" t="s">
        <v>269</v>
      </c>
      <c r="D187" s="251">
        <f t="shared" si="23"/>
        <v>270</v>
      </c>
      <c r="E187" s="252">
        <f t="shared" si="24"/>
        <v>0.00115</v>
      </c>
      <c r="F187" s="257"/>
      <c r="G187" s="1"/>
      <c r="H187" s="206"/>
    </row>
    <row r="188">
      <c r="A188" s="248" t="s">
        <v>289</v>
      </c>
      <c r="B188" s="249" t="str">
        <f>IFERROR(__xludf.DUMMYFUNCTION("VLOOKUP(A188,IMPORTRANGE(""https://docs.google.com/spreadsheets/d/1oJmkDK37Qizzdaxn4KCwh1BMwdNWuHCx3AGH8BC9yu0/edit?gid=781951868#gid=781951868"",""キャラ!D:F""),3,false)"),"悪魔が恐れる悪魔 チェンソーマン")</f>
        <v>悪魔が恐れる悪魔 チェンソーマン</v>
      </c>
      <c r="C188" s="255" t="s">
        <v>269</v>
      </c>
      <c r="D188" s="251">
        <f t="shared" si="23"/>
        <v>270</v>
      </c>
      <c r="E188" s="252">
        <f t="shared" si="24"/>
        <v>0.00115</v>
      </c>
      <c r="F188" s="257"/>
      <c r="G188" s="1"/>
      <c r="H188" s="206"/>
    </row>
    <row r="189">
      <c r="A189" s="248" t="s">
        <v>290</v>
      </c>
      <c r="B189" s="249" t="str">
        <f>IFERROR(__xludf.DUMMYFUNCTION("VLOOKUP(A189,IMPORTRANGE(""https://docs.google.com/spreadsheets/d/1oJmkDK37Qizzdaxn4KCwh1BMwdNWuHCx3AGH8BC9yu0/edit?gid=781951868#gid=781951868"",""キャラ!D:F""),3,false)"),"隠された英雄の姿 怪獣８号")</f>
        <v>隠された英雄の姿 怪獣８号</v>
      </c>
      <c r="C189" s="255" t="s">
        <v>269</v>
      </c>
      <c r="D189" s="251">
        <f t="shared" si="23"/>
        <v>270</v>
      </c>
      <c r="E189" s="252">
        <f t="shared" si="24"/>
        <v>0.00115</v>
      </c>
      <c r="F189" s="257"/>
      <c r="G189" s="1"/>
      <c r="H189" s="206"/>
    </row>
    <row r="190">
      <c r="A190" s="248" t="s">
        <v>291</v>
      </c>
      <c r="B190" s="249" t="str">
        <f>IFERROR(__xludf.DUMMYFUNCTION("VLOOKUP(A190,IMPORTRANGE(""https://docs.google.com/spreadsheets/d/1oJmkDK37Qizzdaxn4KCwh1BMwdNWuHCx3AGH8BC9yu0/edit?gid=781951868#gid=781951868"",""キャラ!D:F""),3,false)"),"リリエルに捧ぐ愛 天乃 リリサ")</f>
        <v>リリエルに捧ぐ愛 天乃 リリサ</v>
      </c>
      <c r="C190" s="255" t="s">
        <v>269</v>
      </c>
      <c r="D190" s="251">
        <f t="shared" si="23"/>
        <v>270</v>
      </c>
      <c r="E190" s="252">
        <f t="shared" si="24"/>
        <v>0.00115</v>
      </c>
      <c r="F190" s="257"/>
      <c r="G190" s="1"/>
      <c r="H190" s="206"/>
    </row>
    <row r="191">
      <c r="A191" s="248" t="s">
        <v>292</v>
      </c>
      <c r="B191" s="249" t="str">
        <f>IFERROR(__xludf.DUMMYFUNCTION("VLOOKUP(A191,IMPORTRANGE(""https://docs.google.com/spreadsheets/d/1oJmkDK37Qizzdaxn4KCwh1BMwdNWuHCx3AGH8BC9yu0/edit?gid=781951868#gid=781951868"",""キャラ!D:F""),3,false)"),"コスプレに託す乙女心 橘 美花莉")</f>
        <v>コスプレに託す乙女心 橘 美花莉</v>
      </c>
      <c r="C191" s="255" t="s">
        <v>269</v>
      </c>
      <c r="D191" s="251">
        <f t="shared" si="23"/>
        <v>270</v>
      </c>
      <c r="E191" s="252">
        <f t="shared" si="24"/>
        <v>0.00115</v>
      </c>
      <c r="F191" s="257"/>
      <c r="G191" s="1"/>
      <c r="H191" s="206"/>
    </row>
    <row r="192">
      <c r="A192" s="248" t="s">
        <v>293</v>
      </c>
      <c r="B192" s="249" t="str">
        <f>IFERROR(__xludf.DUMMYFUNCTION("VLOOKUP(A192,IMPORTRANGE(""https://docs.google.com/spreadsheets/d/1oJmkDK37Qizzdaxn4KCwh1BMwdNWuHCx3AGH8BC9yu0/edit?gid=781951868#gid=781951868"",""キャラ!D:F""),3,false)"),"誇り高き魔都の剣姫 羽前 京香")</f>
        <v>誇り高き魔都の剣姫 羽前 京香</v>
      </c>
      <c r="C192" s="255" t="s">
        <v>269</v>
      </c>
      <c r="D192" s="251">
        <f t="shared" si="23"/>
        <v>270</v>
      </c>
      <c r="E192" s="252">
        <f t="shared" si="24"/>
        <v>0.00115</v>
      </c>
      <c r="F192" s="257"/>
      <c r="G192" s="1"/>
      <c r="H192" s="206"/>
    </row>
    <row r="193">
      <c r="A193" s="248" t="s">
        <v>294</v>
      </c>
      <c r="B193" s="249" t="str">
        <f>IFERROR(__xludf.DUMMYFUNCTION("VLOOKUP(A193,IMPORTRANGE(""https://docs.google.com/spreadsheets/d/1oJmkDK37Qizzdaxn4KCwh1BMwdNWuHCx3AGH8BC9yu0/edit?gid=781951868#gid=781951868"",""キャラ!D:F""),3,false)"),"がらんの画眉丸")</f>
        <v>がらんの画眉丸</v>
      </c>
      <c r="C193" s="255" t="s">
        <v>269</v>
      </c>
      <c r="D193" s="251">
        <f t="shared" si="23"/>
        <v>270</v>
      </c>
      <c r="E193" s="252">
        <f t="shared" si="24"/>
        <v>0.00115</v>
      </c>
      <c r="F193" s="257"/>
      <c r="G193" s="1"/>
      <c r="H193" s="206"/>
    </row>
    <row r="194">
      <c r="A194" s="248" t="s">
        <v>295</v>
      </c>
      <c r="B194" s="249" t="str">
        <f>IFERROR(__xludf.DUMMYFUNCTION("VLOOKUP(A194,IMPORTRANGE(""https://docs.google.com/spreadsheets/d/1oJmkDK37Qizzdaxn4KCwh1BMwdNWuHCx3AGH8BC9yu0/edit?gid=781951868#gid=781951868"",""キャラ!D:F""),3,false)"),"新人魔法少女 桜木 カナ")</f>
        <v>新人魔法少女 桜木 カナ</v>
      </c>
      <c r="C194" s="255" t="s">
        <v>269</v>
      </c>
      <c r="D194" s="251">
        <f t="shared" si="23"/>
        <v>270</v>
      </c>
      <c r="E194" s="252">
        <f t="shared" si="24"/>
        <v>0.00115</v>
      </c>
      <c r="F194" s="257"/>
      <c r="G194" s="1"/>
      <c r="H194" s="206"/>
    </row>
    <row r="195">
      <c r="A195" s="248" t="s">
        <v>296</v>
      </c>
      <c r="B195" s="249" t="str">
        <f>IFERROR(__xludf.DUMMYFUNCTION("VLOOKUP(A195,IMPORTRANGE(""https://docs.google.com/spreadsheets/d/1oJmkDK37Qizzdaxn4KCwh1BMwdNWuHCx3AGH8BC9yu0/edit?gid=781951868#gid=781951868"",""キャラ!D:F""),3,false)"),"影のウシオ 小舟 潮")</f>
        <v>影のウシオ 小舟 潮</v>
      </c>
      <c r="C195" s="255" t="s">
        <v>269</v>
      </c>
      <c r="D195" s="251">
        <f t="shared" si="23"/>
        <v>270</v>
      </c>
      <c r="E195" s="252">
        <f t="shared" si="24"/>
        <v>0.00115</v>
      </c>
      <c r="F195" s="264"/>
      <c r="G195" s="1"/>
      <c r="H195" s="206"/>
    </row>
    <row r="196">
      <c r="A196" s="248" t="s">
        <v>297</v>
      </c>
      <c r="B196" s="249" t="str">
        <f>IFERROR(__xludf.DUMMYFUNCTION("VLOOKUP(A196,IMPORTRANGE(""https://docs.google.com/spreadsheets/d/1oJmkDK37Qizzdaxn4KCwh1BMwdNWuHCx3AGH8BC9yu0/edit?gid=781951868#gid=781951868"",""キャラ!D:F""),3,false)"),"保科 宗四郎")</f>
        <v>保科 宗四郎</v>
      </c>
      <c r="C196" s="328" t="s">
        <v>388</v>
      </c>
      <c r="D196" s="251">
        <f t="shared" si="23"/>
        <v>23400</v>
      </c>
      <c r="E196" s="252">
        <f>IFERROR(rounddown($F$196/$C$174,5),"0%")</f>
        <v>0.1</v>
      </c>
      <c r="F196" s="285">
        <v>0.1</v>
      </c>
      <c r="G196" s="1"/>
      <c r="H196" s="206"/>
    </row>
    <row r="197">
      <c r="A197" s="263" t="s">
        <v>304</v>
      </c>
      <c r="B197" s="249" t="str">
        <f>IFERROR(__xludf.DUMMYFUNCTION("VLOOKUP(A197,IMPORTRANGE(""https://docs.google.com/spreadsheets/d/1oJmkDK37Qizzdaxn4KCwh1BMwdNWuHCx3AGH8BC9yu0/edit?gid=781951868#gid=781951868"",""キャラ!D:F""),3,false)"),"モモ")</f>
        <v>モモ</v>
      </c>
      <c r="C197" s="265" t="s">
        <v>270</v>
      </c>
      <c r="D197" s="251">
        <f t="shared" si="23"/>
        <v>22620</v>
      </c>
      <c r="E197" s="252">
        <f t="shared" ref="E197:E205" si="25">IFERROR(rounddown($F$197/$C$175,5),"0%")</f>
        <v>0.09666</v>
      </c>
      <c r="F197" s="285">
        <v>0.87</v>
      </c>
      <c r="G197" s="1"/>
      <c r="H197" s="206"/>
    </row>
    <row r="198">
      <c r="A198" s="263" t="s">
        <v>305</v>
      </c>
      <c r="B198" s="249" t="str">
        <f>IFERROR(__xludf.DUMMYFUNCTION("VLOOKUP(A198,IMPORTRANGE(""https://docs.google.com/spreadsheets/d/1oJmkDK37Qizzdaxn4KCwh1BMwdNWuHCx3AGH8BC9yu0/edit?gid=781951868#gid=781951868"",""キャラ!D:F""),3,false)"),"早川 アキ")</f>
        <v>早川 アキ</v>
      </c>
      <c r="C198" s="265" t="s">
        <v>270</v>
      </c>
      <c r="D198" s="251">
        <f t="shared" si="23"/>
        <v>22620</v>
      </c>
      <c r="E198" s="252">
        <f t="shared" si="25"/>
        <v>0.09666</v>
      </c>
      <c r="F198" s="257"/>
      <c r="G198" s="1"/>
      <c r="H198" s="206"/>
    </row>
    <row r="199">
      <c r="A199" s="263" t="s">
        <v>306</v>
      </c>
      <c r="B199" s="249" t="str">
        <f>IFERROR(__xludf.DUMMYFUNCTION("VLOOKUP(A199,IMPORTRANGE(""https://docs.google.com/spreadsheets/d/1oJmkDK37Qizzdaxn4KCwh1BMwdNWuHCx3AGH8BC9yu0/edit?gid=781951868#gid=781951868"",""キャラ!D:F""),3,false)"),"パワー")</f>
        <v>パワー</v>
      </c>
      <c r="C199" s="265" t="s">
        <v>270</v>
      </c>
      <c r="D199" s="251">
        <f t="shared" si="23"/>
        <v>22620</v>
      </c>
      <c r="E199" s="252">
        <f t="shared" si="25"/>
        <v>0.09666</v>
      </c>
      <c r="F199" s="257"/>
      <c r="G199" s="1"/>
      <c r="H199" s="206"/>
    </row>
    <row r="200">
      <c r="A200" s="263" t="s">
        <v>307</v>
      </c>
      <c r="B200" s="249" t="str">
        <f>IFERROR(__xludf.DUMMYFUNCTION("VLOOKUP(A200,IMPORTRANGE(""https://docs.google.com/spreadsheets/d/1oJmkDK37Qizzdaxn4KCwh1BMwdNWuHCx3AGH8BC9yu0/edit?gid=781951868#gid=781951868"",""キャラ!D:F""),3,false)"),"四ノ宮 キコル")</f>
        <v>四ノ宮 キコル</v>
      </c>
      <c r="C200" s="265" t="s">
        <v>270</v>
      </c>
      <c r="D200" s="251">
        <f t="shared" si="23"/>
        <v>22620</v>
      </c>
      <c r="E200" s="252">
        <f t="shared" si="25"/>
        <v>0.09666</v>
      </c>
      <c r="F200" s="257"/>
      <c r="G200" s="1"/>
      <c r="H200" s="206"/>
    </row>
    <row r="201">
      <c r="A201" s="263" t="s">
        <v>308</v>
      </c>
      <c r="B201" s="249" t="str">
        <f>IFERROR(__xludf.DUMMYFUNCTION("VLOOKUP(A201,IMPORTRANGE(""https://docs.google.com/spreadsheets/d/1oJmkDK37Qizzdaxn4KCwh1BMwdNWuHCx3AGH8BC9yu0/edit?gid=781951868#gid=781951868"",""キャラ!D:F""),3,false)"),"鴨乃橋 ロン")</f>
        <v>鴨乃橋 ロン</v>
      </c>
      <c r="C201" s="265" t="s">
        <v>270</v>
      </c>
      <c r="D201" s="251">
        <f t="shared" si="23"/>
        <v>22620</v>
      </c>
      <c r="E201" s="252">
        <f t="shared" si="25"/>
        <v>0.09666</v>
      </c>
      <c r="F201" s="257"/>
      <c r="G201" s="1"/>
      <c r="H201" s="206"/>
    </row>
    <row r="202">
      <c r="A202" s="263" t="s">
        <v>309</v>
      </c>
      <c r="B202" s="249" t="str">
        <f>IFERROR(__xludf.DUMMYFUNCTION("VLOOKUP(A202,IMPORTRANGE(""https://docs.google.com/spreadsheets/d/1oJmkDK37Qizzdaxn4KCwh1BMwdNWuHCx3AGH8BC9yu0/edit?gid=781951868#gid=781951868"",""キャラ!D:F""),3,false)"),"阿波連 れいな")</f>
        <v>阿波連 れいな</v>
      </c>
      <c r="C202" s="265" t="s">
        <v>270</v>
      </c>
      <c r="D202" s="251">
        <f t="shared" si="23"/>
        <v>22620</v>
      </c>
      <c r="E202" s="252">
        <f t="shared" si="25"/>
        <v>0.09666</v>
      </c>
      <c r="F202" s="257"/>
      <c r="G202" s="1"/>
      <c r="H202" s="206"/>
    </row>
    <row r="203">
      <c r="A203" s="263" t="s">
        <v>310</v>
      </c>
      <c r="B203" s="249" t="str">
        <f>IFERROR(__xludf.DUMMYFUNCTION("VLOOKUP(A203,IMPORTRANGE(""https://docs.google.com/spreadsheets/d/1oJmkDK37Qizzdaxn4KCwh1BMwdNWuHCx3AGH8BC9yu0/edit?gid=781951868#gid=781951868"",""キャラ!D:F""),3,false)"),"山田浅ェ門 佐切")</f>
        <v>山田浅ェ門 佐切</v>
      </c>
      <c r="C203" s="265" t="s">
        <v>270</v>
      </c>
      <c r="D203" s="251">
        <f t="shared" si="23"/>
        <v>22620</v>
      </c>
      <c r="E203" s="252">
        <f t="shared" si="25"/>
        <v>0.09666</v>
      </c>
      <c r="F203" s="257"/>
      <c r="G203" s="7"/>
      <c r="H203" s="206"/>
    </row>
    <row r="204">
      <c r="A204" s="263" t="s">
        <v>311</v>
      </c>
      <c r="B204" s="249" t="str">
        <f>IFERROR(__xludf.DUMMYFUNCTION("VLOOKUP(A204,IMPORTRANGE(""https://docs.google.com/spreadsheets/d/1oJmkDK37Qizzdaxn4KCwh1BMwdNWuHCx3AGH8BC9yu0/edit?gid=781951868#gid=781951868"",""キャラ!D:F""),3,false)"),"冬木 美波")</f>
        <v>冬木 美波</v>
      </c>
      <c r="C204" s="265" t="s">
        <v>270</v>
      </c>
      <c r="D204" s="251">
        <f t="shared" si="23"/>
        <v>22620</v>
      </c>
      <c r="E204" s="252">
        <f t="shared" si="25"/>
        <v>0.09666</v>
      </c>
      <c r="F204" s="257"/>
      <c r="G204" s="1"/>
      <c r="H204" s="206"/>
    </row>
    <row r="205">
      <c r="A205" s="263" t="s">
        <v>312</v>
      </c>
      <c r="B205" s="249" t="str">
        <f>IFERROR(__xludf.DUMMYFUNCTION("VLOOKUP(A205,IMPORTRANGE(""https://docs.google.com/spreadsheets/d/1oJmkDK37Qizzdaxn4KCwh1BMwdNWuHCx3AGH8BC9yu0/edit?gid=781951868#gid=781951868"",""キャラ!D:F""),3,false)"),"秋野 沙友理")</f>
        <v>秋野 沙友理</v>
      </c>
      <c r="C205" s="265" t="s">
        <v>270</v>
      </c>
      <c r="D205" s="251">
        <f t="shared" si="23"/>
        <v>22620</v>
      </c>
      <c r="E205" s="252">
        <f t="shared" si="25"/>
        <v>0.09666</v>
      </c>
      <c r="F205" s="264"/>
      <c r="G205" s="1"/>
      <c r="H205" s="206"/>
    </row>
    <row r="206">
      <c r="A206" s="331"/>
      <c r="B206" s="287"/>
      <c r="C206" s="332"/>
      <c r="D206" s="289"/>
      <c r="E206" s="270">
        <f t="shared" ref="E206:F206" si="26">sum(E181:E205)</f>
        <v>0.99989</v>
      </c>
      <c r="F206" s="271">
        <f t="shared" si="26"/>
        <v>1</v>
      </c>
      <c r="G206" s="1"/>
      <c r="H206" s="1"/>
    </row>
    <row r="207">
      <c r="A207" s="331"/>
      <c r="B207" s="287"/>
      <c r="C207" s="332"/>
      <c r="D207" s="289"/>
      <c r="E207" s="290"/>
      <c r="F207" s="333"/>
      <c r="G207" s="1"/>
      <c r="H207" s="1"/>
    </row>
    <row r="208">
      <c r="A208" s="331"/>
      <c r="B208" s="287"/>
      <c r="C208" s="332"/>
      <c r="D208" s="289"/>
      <c r="E208" s="290"/>
      <c r="F208" s="333"/>
      <c r="G208" s="1"/>
      <c r="H208" s="1"/>
    </row>
    <row r="209">
      <c r="A209" s="336" t="s">
        <v>449</v>
      </c>
      <c r="B209" s="203"/>
      <c r="C209" s="203"/>
      <c r="D209" s="204"/>
      <c r="E209" s="274"/>
      <c r="F209" s="275"/>
      <c r="G209" s="204"/>
      <c r="H209" s="205"/>
    </row>
    <row r="210">
      <c r="A210" s="68"/>
      <c r="B210" s="68"/>
      <c r="C210" s="68"/>
      <c r="D210" s="1"/>
      <c r="E210" s="130"/>
      <c r="F210" s="272"/>
      <c r="G210" s="1"/>
      <c r="H210" s="206"/>
    </row>
    <row r="211">
      <c r="A211" s="68"/>
      <c r="B211" s="276" t="s">
        <v>264</v>
      </c>
      <c r="C211" s="276" t="s">
        <v>265</v>
      </c>
      <c r="D211" s="229" t="s">
        <v>266</v>
      </c>
      <c r="E211" s="277" t="s">
        <v>267</v>
      </c>
      <c r="F211" s="272"/>
      <c r="G211" s="1"/>
      <c r="H211" s="206"/>
    </row>
    <row r="212">
      <c r="A212" s="68" t="s">
        <v>268</v>
      </c>
      <c r="B212" s="321">
        <v>0.15</v>
      </c>
      <c r="C212" s="278">
        <f t="shared" ref="C212:C213" si="27">countif($C$131:$C$165,A212)</f>
        <v>2</v>
      </c>
      <c r="D212" s="232">
        <f t="shared" ref="D212:D213" si="28">$D$215*B212</f>
        <v>390</v>
      </c>
      <c r="E212" s="233">
        <f t="shared" ref="E212:E213" si="29">IFERROR(D212/C212,"0")</f>
        <v>195</v>
      </c>
      <c r="F212" s="272"/>
      <c r="G212" s="1"/>
      <c r="H212" s="206"/>
    </row>
    <row r="213">
      <c r="A213" s="68" t="s">
        <v>269</v>
      </c>
      <c r="B213" s="322">
        <v>0.85</v>
      </c>
      <c r="C213" s="278">
        <f t="shared" si="27"/>
        <v>13</v>
      </c>
      <c r="D213" s="232">
        <f t="shared" si="28"/>
        <v>2210</v>
      </c>
      <c r="E213" s="233">
        <f t="shared" si="29"/>
        <v>170</v>
      </c>
      <c r="F213" s="272"/>
      <c r="G213" s="1"/>
      <c r="H213" s="206"/>
    </row>
    <row r="214">
      <c r="A214" s="280"/>
      <c r="B214" s="281"/>
      <c r="C214" s="68"/>
      <c r="D214" s="282"/>
      <c r="E214" s="241"/>
      <c r="F214" s="272"/>
      <c r="G214" s="1"/>
      <c r="H214" s="206"/>
    </row>
    <row r="215">
      <c r="A215" s="278" t="s">
        <v>93</v>
      </c>
      <c r="B215" s="238">
        <f t="shared" ref="B215:C215" si="30">sum(B212:B214)</f>
        <v>1</v>
      </c>
      <c r="C215" s="283">
        <f t="shared" si="30"/>
        <v>15</v>
      </c>
      <c r="D215" s="323">
        <v>2600.0</v>
      </c>
      <c r="E215" s="130"/>
      <c r="F215" s="272"/>
      <c r="G215" s="1"/>
      <c r="H215" s="206"/>
    </row>
    <row r="216">
      <c r="A216" s="68"/>
      <c r="B216" s="68"/>
      <c r="C216" s="278">
        <f>COUNTA(C219:C253)</f>
        <v>15</v>
      </c>
      <c r="D216" s="1"/>
      <c r="E216" s="130"/>
      <c r="F216" s="272"/>
      <c r="G216" s="1"/>
      <c r="H216" s="206"/>
    </row>
    <row r="217">
      <c r="A217" s="68"/>
      <c r="B217" s="68"/>
      <c r="C217" s="68"/>
      <c r="D217" s="1"/>
      <c r="E217" s="130"/>
      <c r="F217" s="272"/>
      <c r="G217" s="1"/>
      <c r="H217" s="206"/>
    </row>
    <row r="218">
      <c r="A218" s="243" t="s">
        <v>273</v>
      </c>
      <c r="B218" s="243" t="s">
        <v>274</v>
      </c>
      <c r="C218" s="243" t="s">
        <v>364</v>
      </c>
      <c r="D218" s="329" t="s">
        <v>276</v>
      </c>
      <c r="E218" s="247" t="s">
        <v>277</v>
      </c>
      <c r="F218" s="316" t="s">
        <v>278</v>
      </c>
      <c r="G218" s="1"/>
      <c r="H218" s="206"/>
    </row>
    <row r="219">
      <c r="A219" s="248" t="s">
        <v>279</v>
      </c>
      <c r="B219" s="249" t="str">
        <f>IFERROR(__xludf.DUMMYFUNCTION("VLOOKUP(A219,IMPORTRANGE(""https://docs.google.com/spreadsheets/d/1oJmkDK37Qizzdaxn4KCwh1BMwdNWuHCx3AGH8BC9yu0/edit?gid=781951868#gid=781951868"",""キャラ!D:F""),3,false)"),"第三部隊隊長 亜白 ミナ")</f>
        <v>第三部隊隊長 亜白 ミナ</v>
      </c>
      <c r="C219" s="250" t="s">
        <v>268</v>
      </c>
      <c r="D219" s="251">
        <f t="shared" ref="D219:D233" si="31">vlookup(C219,$A$212:$D$214,4,false)/vlookup(C219,$A$212:$D$214,3,false)</f>
        <v>195</v>
      </c>
      <c r="E219" s="252">
        <f>IFERROR(rounddown(F219/$C$172,5),"0%")</f>
        <v>0.075</v>
      </c>
      <c r="F219" s="330">
        <v>0.15</v>
      </c>
      <c r="G219" s="1" t="s">
        <v>389</v>
      </c>
      <c r="H219" s="206"/>
    </row>
    <row r="220">
      <c r="A220" s="248" t="s">
        <v>280</v>
      </c>
      <c r="B220" s="249" t="str">
        <f>IFERROR(__xludf.DUMMYFUNCTION("VLOOKUP(A220,IMPORTRANGE(""https://docs.google.com/spreadsheets/d/1oJmkDK37Qizzdaxn4KCwh1BMwdNWuHCx3AGH8BC9yu0/edit?gid=781951868#gid=781951868"",""キャラ!D:F""),3,false)"),"姉を想う盲愛 ユーリ・ブライア")</f>
        <v>姉を想う盲愛 ユーリ・ブライア</v>
      </c>
      <c r="C220" s="250" t="s">
        <v>268</v>
      </c>
      <c r="D220" s="251">
        <f t="shared" si="31"/>
        <v>195</v>
      </c>
      <c r="E220" s="252">
        <f>IFERROR(rounddown(F219/$C$172,5),"0%")</f>
        <v>0.075</v>
      </c>
      <c r="F220" s="257"/>
      <c r="G220" s="1"/>
      <c r="H220" s="206"/>
    </row>
    <row r="221">
      <c r="A221" s="248" t="s">
        <v>284</v>
      </c>
      <c r="B221" s="249" t="str">
        <f>IFERROR(__xludf.DUMMYFUNCTION("VLOOKUP(A221,IMPORTRANGE(""https://docs.google.com/spreadsheets/d/1oJmkDK37Qizzdaxn4KCwh1BMwdNWuHCx3AGH8BC9yu0/edit?gid=781951868#gid=781951868"",""キャラ!D:F""),3,false)"),"&lt;黄昏&gt; ロイド")</f>
        <v>&lt;黄昏&gt; ロイド</v>
      </c>
      <c r="C221" s="255" t="s">
        <v>269</v>
      </c>
      <c r="D221" s="251">
        <f t="shared" si="31"/>
        <v>170</v>
      </c>
      <c r="E221" s="252">
        <f t="shared" ref="E221:E233" si="32">IFERROR(rounddown($F$221/$C$213,5),"0%")</f>
        <v>0.06538</v>
      </c>
      <c r="F221" s="330">
        <v>0.85</v>
      </c>
      <c r="G221" s="1"/>
      <c r="H221" s="206"/>
    </row>
    <row r="222">
      <c r="A222" s="248" t="s">
        <v>285</v>
      </c>
      <c r="B222" s="249" t="str">
        <f>IFERROR(__xludf.DUMMYFUNCTION("VLOOKUP(A222,IMPORTRANGE(""https://docs.google.com/spreadsheets/d/1oJmkDK37Qizzdaxn4KCwh1BMwdNWuHCx3AGH8BC9yu0/edit?gid=781951868#gid=781951868"",""キャラ!D:F""),3,false)"),"&lt;いばら姫&gt; ヨル")</f>
        <v>&lt;いばら姫&gt; ヨル</v>
      </c>
      <c r="C222" s="255" t="s">
        <v>269</v>
      </c>
      <c r="D222" s="251">
        <f t="shared" si="31"/>
        <v>170</v>
      </c>
      <c r="E222" s="252">
        <f t="shared" si="32"/>
        <v>0.06538</v>
      </c>
      <c r="F222" s="257"/>
      <c r="G222" s="1"/>
      <c r="H222" s="206"/>
    </row>
    <row r="223">
      <c r="A223" s="248" t="s">
        <v>286</v>
      </c>
      <c r="B223" s="249" t="str">
        <f>IFERROR(__xludf.DUMMYFUNCTION("VLOOKUP(A223,IMPORTRANGE(""https://docs.google.com/spreadsheets/d/1oJmkDK37Qizzdaxn4KCwh1BMwdNWuHCx3AGH8BC9yu0/edit?gid=781951868#gid=781951868"",""キャラ!D:F""),3,false)"),"わくわく アーニャ")</f>
        <v>わくわく アーニャ</v>
      </c>
      <c r="C223" s="255" t="s">
        <v>269</v>
      </c>
      <c r="D223" s="251">
        <f t="shared" si="31"/>
        <v>170</v>
      </c>
      <c r="E223" s="252">
        <f t="shared" si="32"/>
        <v>0.06538</v>
      </c>
      <c r="F223" s="257"/>
      <c r="G223" s="1"/>
      <c r="H223" s="206"/>
    </row>
    <row r="224">
      <c r="A224" s="248" t="s">
        <v>287</v>
      </c>
      <c r="B224" s="249" t="str">
        <f>IFERROR(__xludf.DUMMYFUNCTION("VLOOKUP(A224,IMPORTRANGE(""https://docs.google.com/spreadsheets/d/1oJmkDK37Qizzdaxn4KCwh1BMwdNWuHCx3AGH8BC9yu0/edit?gid=781951868#gid=781951868"",""キャラ!D:F""),3,false)"),"ターボババアの霊力 オカルン")</f>
        <v>ターボババアの霊力 オカルン</v>
      </c>
      <c r="C224" s="255" t="s">
        <v>269</v>
      </c>
      <c r="D224" s="251">
        <f t="shared" si="31"/>
        <v>170</v>
      </c>
      <c r="E224" s="252">
        <f t="shared" si="32"/>
        <v>0.06538</v>
      </c>
      <c r="F224" s="257"/>
      <c r="G224" s="1"/>
      <c r="H224" s="206"/>
    </row>
    <row r="225">
      <c r="A225" s="248" t="s">
        <v>288</v>
      </c>
      <c r="B225" s="249" t="str">
        <f>IFERROR(__xludf.DUMMYFUNCTION("VLOOKUP(A225,IMPORTRANGE(""https://docs.google.com/spreadsheets/d/1oJmkDK37Qizzdaxn4KCwh1BMwdNWuHCx3AGH8BC9yu0/edit?gid=781951868#gid=781951868"",""キャラ!D:F""),3,false)"),"囚われの王女 姫様")</f>
        <v>囚われの王女 姫様</v>
      </c>
      <c r="C225" s="255" t="s">
        <v>269</v>
      </c>
      <c r="D225" s="251">
        <f t="shared" si="31"/>
        <v>170</v>
      </c>
      <c r="E225" s="252">
        <f t="shared" si="32"/>
        <v>0.06538</v>
      </c>
      <c r="F225" s="257"/>
      <c r="G225" s="1"/>
      <c r="H225" s="206"/>
    </row>
    <row r="226">
      <c r="A226" s="248" t="s">
        <v>289</v>
      </c>
      <c r="B226" s="249" t="str">
        <f>IFERROR(__xludf.DUMMYFUNCTION("VLOOKUP(A226,IMPORTRANGE(""https://docs.google.com/spreadsheets/d/1oJmkDK37Qizzdaxn4KCwh1BMwdNWuHCx3AGH8BC9yu0/edit?gid=781951868#gid=781951868"",""キャラ!D:F""),3,false)"),"悪魔が恐れる悪魔 チェンソーマン")</f>
        <v>悪魔が恐れる悪魔 チェンソーマン</v>
      </c>
      <c r="C226" s="255" t="s">
        <v>269</v>
      </c>
      <c r="D226" s="251">
        <f t="shared" si="31"/>
        <v>170</v>
      </c>
      <c r="E226" s="252">
        <f t="shared" si="32"/>
        <v>0.06538</v>
      </c>
      <c r="F226" s="257"/>
      <c r="G226" s="1"/>
      <c r="H226" s="206"/>
    </row>
    <row r="227">
      <c r="A227" s="248" t="s">
        <v>290</v>
      </c>
      <c r="B227" s="249" t="str">
        <f>IFERROR(__xludf.DUMMYFUNCTION("VLOOKUP(A227,IMPORTRANGE(""https://docs.google.com/spreadsheets/d/1oJmkDK37Qizzdaxn4KCwh1BMwdNWuHCx3AGH8BC9yu0/edit?gid=781951868#gid=781951868"",""キャラ!D:F""),3,false)"),"隠された英雄の姿 怪獣８号")</f>
        <v>隠された英雄の姿 怪獣８号</v>
      </c>
      <c r="C227" s="255" t="s">
        <v>269</v>
      </c>
      <c r="D227" s="251">
        <f t="shared" si="31"/>
        <v>170</v>
      </c>
      <c r="E227" s="252">
        <f t="shared" si="32"/>
        <v>0.06538</v>
      </c>
      <c r="F227" s="257"/>
      <c r="G227" s="1"/>
      <c r="H227" s="206"/>
    </row>
    <row r="228">
      <c r="A228" s="248" t="s">
        <v>291</v>
      </c>
      <c r="B228" s="249" t="str">
        <f>IFERROR(__xludf.DUMMYFUNCTION("VLOOKUP(A228,IMPORTRANGE(""https://docs.google.com/spreadsheets/d/1oJmkDK37Qizzdaxn4KCwh1BMwdNWuHCx3AGH8BC9yu0/edit?gid=781951868#gid=781951868"",""キャラ!D:F""),3,false)"),"リリエルに捧ぐ愛 天乃 リリサ")</f>
        <v>リリエルに捧ぐ愛 天乃 リリサ</v>
      </c>
      <c r="C228" s="255" t="s">
        <v>269</v>
      </c>
      <c r="D228" s="251">
        <f t="shared" si="31"/>
        <v>170</v>
      </c>
      <c r="E228" s="252">
        <f t="shared" si="32"/>
        <v>0.06538</v>
      </c>
      <c r="F228" s="257"/>
      <c r="G228" s="1"/>
      <c r="H228" s="206"/>
    </row>
    <row r="229">
      <c r="A229" s="248" t="s">
        <v>292</v>
      </c>
      <c r="B229" s="249" t="str">
        <f>IFERROR(__xludf.DUMMYFUNCTION("VLOOKUP(A229,IMPORTRANGE(""https://docs.google.com/spreadsheets/d/1oJmkDK37Qizzdaxn4KCwh1BMwdNWuHCx3AGH8BC9yu0/edit?gid=781951868#gid=781951868"",""キャラ!D:F""),3,false)"),"コスプレに託す乙女心 橘 美花莉")</f>
        <v>コスプレに託す乙女心 橘 美花莉</v>
      </c>
      <c r="C229" s="255" t="s">
        <v>269</v>
      </c>
      <c r="D229" s="251">
        <f t="shared" si="31"/>
        <v>170</v>
      </c>
      <c r="E229" s="252">
        <f t="shared" si="32"/>
        <v>0.06538</v>
      </c>
      <c r="F229" s="257"/>
      <c r="G229" s="1"/>
      <c r="H229" s="206"/>
    </row>
    <row r="230">
      <c r="A230" s="248" t="s">
        <v>293</v>
      </c>
      <c r="B230" s="249" t="str">
        <f>IFERROR(__xludf.DUMMYFUNCTION("VLOOKUP(A230,IMPORTRANGE(""https://docs.google.com/spreadsheets/d/1oJmkDK37Qizzdaxn4KCwh1BMwdNWuHCx3AGH8BC9yu0/edit?gid=781951868#gid=781951868"",""キャラ!D:F""),3,false)"),"誇り高き魔都の剣姫 羽前 京香")</f>
        <v>誇り高き魔都の剣姫 羽前 京香</v>
      </c>
      <c r="C230" s="255" t="s">
        <v>269</v>
      </c>
      <c r="D230" s="251">
        <f t="shared" si="31"/>
        <v>170</v>
      </c>
      <c r="E230" s="252">
        <f t="shared" si="32"/>
        <v>0.06538</v>
      </c>
      <c r="F230" s="257"/>
      <c r="G230" s="1"/>
      <c r="H230" s="206"/>
    </row>
    <row r="231">
      <c r="A231" s="248" t="s">
        <v>294</v>
      </c>
      <c r="B231" s="249" t="str">
        <f>IFERROR(__xludf.DUMMYFUNCTION("VLOOKUP(A231,IMPORTRANGE(""https://docs.google.com/spreadsheets/d/1oJmkDK37Qizzdaxn4KCwh1BMwdNWuHCx3AGH8BC9yu0/edit?gid=781951868#gid=781951868"",""キャラ!D:F""),3,false)"),"がらんの画眉丸")</f>
        <v>がらんの画眉丸</v>
      </c>
      <c r="C231" s="255" t="s">
        <v>269</v>
      </c>
      <c r="D231" s="251">
        <f t="shared" si="31"/>
        <v>170</v>
      </c>
      <c r="E231" s="252">
        <f t="shared" si="32"/>
        <v>0.06538</v>
      </c>
      <c r="F231" s="257"/>
      <c r="G231" s="1"/>
      <c r="H231" s="206"/>
    </row>
    <row r="232">
      <c r="A232" s="248" t="s">
        <v>295</v>
      </c>
      <c r="B232" s="249" t="str">
        <f>IFERROR(__xludf.DUMMYFUNCTION("VLOOKUP(A232,IMPORTRANGE(""https://docs.google.com/spreadsheets/d/1oJmkDK37Qizzdaxn4KCwh1BMwdNWuHCx3AGH8BC9yu0/edit?gid=781951868#gid=781951868"",""キャラ!D:F""),3,false)"),"新人魔法少女 桜木 カナ")</f>
        <v>新人魔法少女 桜木 カナ</v>
      </c>
      <c r="C232" s="255" t="s">
        <v>269</v>
      </c>
      <c r="D232" s="251">
        <f t="shared" si="31"/>
        <v>170</v>
      </c>
      <c r="E232" s="252">
        <f t="shared" si="32"/>
        <v>0.06538</v>
      </c>
      <c r="F232" s="257"/>
      <c r="G232" s="1"/>
      <c r="H232" s="206"/>
    </row>
    <row r="233">
      <c r="A233" s="248" t="s">
        <v>296</v>
      </c>
      <c r="B233" s="249" t="str">
        <f>IFERROR(__xludf.DUMMYFUNCTION("VLOOKUP(A233,IMPORTRANGE(""https://docs.google.com/spreadsheets/d/1oJmkDK37Qizzdaxn4KCwh1BMwdNWuHCx3AGH8BC9yu0/edit?gid=781951868#gid=781951868"",""キャラ!D:F""),3,false)"),"影のウシオ 小舟 潮")</f>
        <v>影のウシオ 小舟 潮</v>
      </c>
      <c r="C233" s="255" t="s">
        <v>269</v>
      </c>
      <c r="D233" s="251">
        <f t="shared" si="31"/>
        <v>170</v>
      </c>
      <c r="E233" s="252">
        <f t="shared" si="32"/>
        <v>0.06538</v>
      </c>
      <c r="F233" s="264"/>
      <c r="G233" s="1"/>
      <c r="H233" s="206"/>
    </row>
    <row r="234">
      <c r="A234" s="331"/>
      <c r="B234" s="287"/>
      <c r="C234" s="332"/>
      <c r="D234" s="289"/>
      <c r="E234" s="270">
        <f t="shared" ref="E234:F234" si="33">sum(E219:E233)</f>
        <v>0.99994</v>
      </c>
      <c r="F234" s="271">
        <f t="shared" si="33"/>
        <v>1</v>
      </c>
      <c r="G234" s="1"/>
      <c r="H234" s="1"/>
    </row>
    <row r="235">
      <c r="A235" s="331"/>
      <c r="B235" s="287"/>
      <c r="C235" s="332"/>
      <c r="D235" s="289"/>
      <c r="E235" s="290"/>
      <c r="F235" s="333"/>
      <c r="G235" s="1"/>
      <c r="H235" s="1"/>
    </row>
    <row r="236">
      <c r="A236" s="331"/>
      <c r="B236" s="359"/>
      <c r="C236" s="286"/>
      <c r="D236" s="231"/>
      <c r="E236" s="360"/>
      <c r="F236" s="333"/>
      <c r="G236" s="1"/>
      <c r="H236" s="1"/>
    </row>
    <row r="237">
      <c r="A237" s="331"/>
      <c r="B237" s="359"/>
      <c r="C237" s="286"/>
      <c r="D237" s="231"/>
      <c r="E237" s="360"/>
      <c r="F237" s="333"/>
      <c r="G237" s="1"/>
      <c r="H237" s="1"/>
    </row>
    <row r="238">
      <c r="A238" s="331"/>
      <c r="B238" s="359"/>
      <c r="C238" s="286"/>
      <c r="D238" s="231"/>
      <c r="E238" s="360"/>
      <c r="F238" s="333"/>
      <c r="G238" s="1"/>
      <c r="H238" s="1"/>
    </row>
    <row r="239">
      <c r="A239" s="331"/>
      <c r="B239" s="359"/>
      <c r="C239" s="286"/>
      <c r="D239" s="231"/>
      <c r="E239" s="360"/>
      <c r="F239" s="333"/>
      <c r="G239" s="1"/>
      <c r="H239" s="1"/>
    </row>
    <row r="240">
      <c r="A240" s="331"/>
      <c r="B240" s="359"/>
      <c r="C240" s="286"/>
      <c r="D240" s="231"/>
      <c r="E240" s="360"/>
      <c r="F240" s="333"/>
      <c r="G240" s="1"/>
      <c r="H240" s="1"/>
    </row>
    <row r="241">
      <c r="A241" s="331"/>
      <c r="B241" s="359"/>
      <c r="C241" s="286"/>
      <c r="D241" s="231"/>
      <c r="E241" s="360"/>
      <c r="F241" s="333"/>
      <c r="G241" s="1"/>
      <c r="H241" s="1"/>
    </row>
    <row r="242">
      <c r="A242" s="331"/>
      <c r="B242" s="359"/>
      <c r="C242" s="286"/>
      <c r="D242" s="231"/>
      <c r="E242" s="360"/>
      <c r="F242" s="333"/>
      <c r="G242" s="1"/>
      <c r="H242" s="1"/>
    </row>
    <row r="243">
      <c r="A243" s="331"/>
      <c r="B243" s="359"/>
      <c r="C243" s="286"/>
      <c r="D243" s="231"/>
      <c r="E243" s="360"/>
      <c r="F243" s="333"/>
      <c r="G243" s="1"/>
      <c r="H243" s="1"/>
    </row>
    <row r="244">
      <c r="A244" s="331"/>
      <c r="B244" s="359"/>
      <c r="C244" s="286"/>
      <c r="D244" s="231"/>
      <c r="E244" s="360"/>
      <c r="F244" s="333"/>
      <c r="G244" s="1"/>
      <c r="H244" s="1"/>
    </row>
  </sheetData>
  <mergeCells count="16">
    <mergeCell ref="A30:A34"/>
    <mergeCell ref="G42:H49"/>
    <mergeCell ref="F72:F73"/>
    <mergeCell ref="F74:F86"/>
    <mergeCell ref="F88:F96"/>
    <mergeCell ref="F97:F106"/>
    <mergeCell ref="F107:F115"/>
    <mergeCell ref="F219:F220"/>
    <mergeCell ref="F221:F233"/>
    <mergeCell ref="F131:F132"/>
    <mergeCell ref="F133:F145"/>
    <mergeCell ref="F147:F155"/>
    <mergeCell ref="F156:F165"/>
    <mergeCell ref="F181:F182"/>
    <mergeCell ref="F183:F195"/>
    <mergeCell ref="F197:F205"/>
  </mergeCells>
  <conditionalFormatting sqref="B9:I9">
    <cfRule type="expression" dxfId="0" priority="1">
      <formula>$B8="無"</formula>
    </cfRule>
  </conditionalFormatting>
  <conditionalFormatting sqref="B17:I18">
    <cfRule type="expression" dxfId="0" priority="2">
      <formula>$B16="無"</formula>
    </cfRule>
  </conditionalFormatting>
  <conditionalFormatting sqref="B20:I20">
    <cfRule type="expression" dxfId="0" priority="3">
      <formula>$B19="無"</formula>
    </cfRule>
  </conditionalFormatting>
  <conditionalFormatting sqref="B24:I24">
    <cfRule type="expression" dxfId="1" priority="4">
      <formula>$B23="無"</formula>
    </cfRule>
  </conditionalFormatting>
  <conditionalFormatting sqref="B26:I26">
    <cfRule type="expression" dxfId="0" priority="5">
      <formula>$B25="無"</formula>
    </cfRule>
  </conditionalFormatting>
  <conditionalFormatting sqref="B5 B10:B11 C10:I15">
    <cfRule type="expression" dxfId="1" priority="6">
      <formula>$B3="無"</formula>
    </cfRule>
  </conditionalFormatting>
  <conditionalFormatting sqref="C13:I15">
    <cfRule type="expression" dxfId="0" priority="7">
      <formula>#REF!="無"</formula>
    </cfRule>
  </conditionalFormatting>
  <dataValidations>
    <dataValidation type="list" allowBlank="1" showErrorMessage="1" sqref="H2">
      <formula1>"未承認,承認済,社内承認済"</formula1>
    </dataValidation>
    <dataValidation type="list" allowBlank="1" showErrorMessage="1" sqref="B6">
      <formula1>"恒常ガシャ,ピックアップガシャ,フェス限定ガシャ,有償限定ガシャ,チュートリアルガシャ,チケットガシャ,ステップアップガシャ"</formula1>
    </dataValidation>
    <dataValidation type="list" allowBlank="1" showErrorMessage="1" sqref="B8 B12:B13 B16 B19 B22:B23 B25">
      <formula1>"有,無"</formula1>
    </dataValidation>
    <dataValidation type="list" allowBlank="1" showErrorMessage="1" sqref="B15">
      <formula1>"行う,行わない"</formula1>
    </dataValidation>
    <dataValidation type="list" allowBlank="1" showErrorMessage="1" sqref="B21">
      <formula1>"可,否"</formula1>
    </dataValidation>
  </dataValidations>
  <hyperlinks>
    <hyperlink r:id="rId1" location="gid=1243607662&amp;range=F:F" ref="F14"/>
    <hyperlink r:id="rId2" location="gid=920186449&amp;range=F:F" ref="E42"/>
    <hyperlink r:id="rId3" location="gid=158837977" ref="E44"/>
    <hyperlink r:id="rId4" location="gid=920186449&amp;range=H:H" ref="E49"/>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453</v>
      </c>
    </row>
    <row r="4">
      <c r="B4" s="164" t="s">
        <v>454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0"/>
    <col customWidth="1" min="2" max="2" width="22.75"/>
    <col customWidth="1" min="3" max="3" width="12.5"/>
    <col customWidth="1" min="4" max="4" width="20.88"/>
    <col customWidth="1" min="5" max="5" width="17.38"/>
    <col customWidth="1" min="6" max="6" width="21.75"/>
  </cols>
  <sheetData>
    <row r="1" ht="17.25" customHeight="1">
      <c r="A1" s="151"/>
      <c r="B1" s="152"/>
      <c r="C1" s="152"/>
      <c r="D1" s="152"/>
      <c r="E1" s="152"/>
      <c r="F1" s="153" t="s">
        <v>37</v>
      </c>
      <c r="G1" s="153" t="s">
        <v>38</v>
      </c>
      <c r="H1" s="154" t="s">
        <v>39</v>
      </c>
      <c r="I1" s="155"/>
    </row>
    <row r="2" ht="26.25" customHeight="1">
      <c r="A2" s="362"/>
      <c r="B2" s="363"/>
      <c r="C2" s="363"/>
      <c r="D2" s="363"/>
      <c r="E2" s="363"/>
      <c r="F2" s="364" t="s">
        <v>41</v>
      </c>
      <c r="G2" s="365"/>
      <c r="H2" s="366"/>
      <c r="I2" s="367"/>
    </row>
    <row r="3">
      <c r="A3" s="161" t="s">
        <v>181</v>
      </c>
      <c r="B3" s="162"/>
      <c r="C3" s="162"/>
      <c r="D3" s="162"/>
      <c r="E3" s="162"/>
      <c r="F3" s="162"/>
      <c r="G3" s="162"/>
      <c r="H3" s="163"/>
      <c r="I3" s="162"/>
    </row>
    <row r="4">
      <c r="A4" s="165" t="s">
        <v>183</v>
      </c>
      <c r="B4" s="166" t="s">
        <v>455</v>
      </c>
      <c r="C4" s="167"/>
      <c r="D4" s="167"/>
      <c r="E4" s="167"/>
      <c r="F4" s="167"/>
      <c r="G4" s="167"/>
      <c r="H4" s="168"/>
    </row>
    <row r="5">
      <c r="A5" s="169" t="s">
        <v>186</v>
      </c>
      <c r="B5" s="368" t="s">
        <v>456</v>
      </c>
      <c r="C5" s="369" t="s">
        <v>457</v>
      </c>
      <c r="D5" s="171"/>
      <c r="E5" s="172"/>
      <c r="F5" s="171"/>
      <c r="G5" s="171"/>
      <c r="H5" s="173"/>
    </row>
    <row r="6">
      <c r="A6" s="165" t="s">
        <v>188</v>
      </c>
      <c r="B6" s="166" t="s">
        <v>458</v>
      </c>
      <c r="C6" s="167"/>
      <c r="D6" s="167"/>
      <c r="E6" s="167"/>
      <c r="F6" s="167"/>
      <c r="G6" s="167"/>
      <c r="H6" s="168"/>
    </row>
    <row r="7">
      <c r="A7" s="165" t="s">
        <v>190</v>
      </c>
      <c r="B7" s="174">
        <v>46097.5</v>
      </c>
      <c r="C7" s="175" t="s">
        <v>191</v>
      </c>
      <c r="D7" s="370" t="s">
        <v>52</v>
      </c>
      <c r="E7" s="166" t="s">
        <v>459</v>
      </c>
      <c r="F7" s="167"/>
      <c r="G7" s="167"/>
      <c r="H7" s="168"/>
    </row>
    <row r="8">
      <c r="A8" s="165" t="s">
        <v>192</v>
      </c>
      <c r="B8" s="166" t="s">
        <v>193</v>
      </c>
      <c r="C8" s="167"/>
      <c r="D8" s="167"/>
      <c r="E8" s="167"/>
      <c r="F8" s="167"/>
      <c r="G8" s="167"/>
      <c r="H8" s="168"/>
    </row>
    <row r="9">
      <c r="A9" s="165" t="s">
        <v>195</v>
      </c>
      <c r="B9" s="170" t="s">
        <v>460</v>
      </c>
      <c r="C9" s="167"/>
      <c r="D9" s="167"/>
      <c r="E9" s="167"/>
      <c r="F9" s="167"/>
      <c r="G9" s="167"/>
      <c r="H9" s="168"/>
    </row>
    <row r="10">
      <c r="A10" s="165" t="s">
        <v>196</v>
      </c>
      <c r="B10" s="170" t="s">
        <v>461</v>
      </c>
      <c r="C10" s="167"/>
      <c r="D10" s="167"/>
      <c r="E10" s="167"/>
      <c r="F10" s="167"/>
      <c r="G10" s="167"/>
      <c r="H10" s="168"/>
    </row>
    <row r="11">
      <c r="A11" s="165" t="s">
        <v>462</v>
      </c>
      <c r="B11" s="166"/>
      <c r="C11" s="167"/>
      <c r="D11" s="167"/>
      <c r="E11" s="167"/>
      <c r="F11" s="167"/>
      <c r="G11" s="167"/>
      <c r="H11" s="168"/>
    </row>
    <row r="12">
      <c r="A12" s="192" t="s">
        <v>198</v>
      </c>
      <c r="B12" s="371" t="s">
        <v>199</v>
      </c>
      <c r="C12" s="178"/>
      <c r="D12" s="178"/>
      <c r="E12" s="178"/>
      <c r="F12" s="178"/>
      <c r="G12" s="178"/>
      <c r="H12" s="179"/>
      <c r="I12" s="1"/>
    </row>
    <row r="13">
      <c r="A13" s="192" t="s">
        <v>200</v>
      </c>
      <c r="B13" s="180" t="s">
        <v>156</v>
      </c>
      <c r="C13" s="178"/>
      <c r="D13" s="178"/>
      <c r="E13" s="178"/>
      <c r="F13" s="178"/>
      <c r="G13" s="178"/>
      <c r="H13" s="179"/>
      <c r="I13" s="1"/>
    </row>
    <row r="14">
      <c r="A14" s="181" t="s">
        <v>201</v>
      </c>
      <c r="B14" s="191" t="s">
        <v>156</v>
      </c>
      <c r="C14" s="185"/>
      <c r="D14" s="185"/>
      <c r="E14" s="185"/>
      <c r="F14" s="185"/>
      <c r="G14" s="185"/>
      <c r="H14" s="187"/>
      <c r="I14" s="188"/>
    </row>
    <row r="15">
      <c r="A15" s="181" t="s">
        <v>202</v>
      </c>
      <c r="B15" s="372">
        <v>1440.0</v>
      </c>
      <c r="C15" s="191" t="s">
        <v>203</v>
      </c>
      <c r="D15" s="184" t="str">
        <f>B15/60&amp;"時間"</f>
        <v>24時間</v>
      </c>
      <c r="E15" s="191" t="s">
        <v>204</v>
      </c>
      <c r="F15" s="373" t="s">
        <v>463</v>
      </c>
      <c r="G15" s="185"/>
      <c r="H15" s="187"/>
      <c r="I15" s="188"/>
    </row>
    <row r="16">
      <c r="A16" s="374" t="s">
        <v>206</v>
      </c>
      <c r="B16" s="191" t="s">
        <v>207</v>
      </c>
      <c r="C16" s="191" t="s">
        <v>464</v>
      </c>
      <c r="D16" s="185"/>
      <c r="E16" s="185"/>
      <c r="F16" s="185"/>
      <c r="G16" s="185"/>
      <c r="H16" s="187"/>
      <c r="I16" s="188"/>
    </row>
    <row r="17">
      <c r="A17" s="165" t="s">
        <v>208</v>
      </c>
      <c r="B17" s="166" t="s">
        <v>156</v>
      </c>
      <c r="C17" s="167"/>
      <c r="D17" s="167"/>
      <c r="E17" s="167"/>
      <c r="F17" s="167"/>
      <c r="G17" s="167"/>
      <c r="H17" s="168"/>
    </row>
    <row r="18">
      <c r="A18" s="165" t="s">
        <v>209</v>
      </c>
      <c r="B18" s="167"/>
      <c r="C18" s="166" t="s">
        <v>210</v>
      </c>
      <c r="D18" s="167"/>
      <c r="E18" s="167"/>
      <c r="F18" s="167"/>
      <c r="G18" s="167"/>
      <c r="H18" s="168"/>
      <c r="I18" s="196"/>
    </row>
    <row r="19">
      <c r="A19" s="165" t="s">
        <v>211</v>
      </c>
      <c r="B19" s="166" t="s">
        <v>156</v>
      </c>
      <c r="C19" s="167"/>
      <c r="D19" s="167"/>
      <c r="E19" s="167"/>
      <c r="F19" s="167"/>
      <c r="G19" s="167"/>
      <c r="H19" s="168"/>
    </row>
    <row r="20">
      <c r="A20" s="165" t="s">
        <v>212</v>
      </c>
      <c r="B20" s="166">
        <v>10.0</v>
      </c>
      <c r="C20" s="166" t="s">
        <v>213</v>
      </c>
      <c r="D20" s="167"/>
      <c r="E20" s="167"/>
      <c r="F20" s="167"/>
      <c r="G20" s="167"/>
      <c r="H20" s="168"/>
      <c r="I20" s="196"/>
    </row>
    <row r="21">
      <c r="A21" s="192" t="s">
        <v>214</v>
      </c>
      <c r="B21" s="375" t="s">
        <v>215</v>
      </c>
      <c r="C21" s="178" t="s">
        <v>216</v>
      </c>
      <c r="D21" s="178"/>
      <c r="E21" s="178"/>
      <c r="F21" s="178"/>
      <c r="G21" s="178"/>
      <c r="H21" s="179"/>
      <c r="I21" s="1"/>
    </row>
    <row r="22">
      <c r="A22" s="165" t="s">
        <v>217</v>
      </c>
      <c r="B22" s="166" t="s">
        <v>156</v>
      </c>
      <c r="C22" s="167"/>
      <c r="D22" s="167"/>
      <c r="E22" s="167"/>
      <c r="F22" s="167"/>
      <c r="G22" s="167"/>
      <c r="H22" s="168"/>
    </row>
    <row r="23">
      <c r="A23" s="165" t="s">
        <v>218</v>
      </c>
      <c r="B23" s="166" t="s">
        <v>193</v>
      </c>
      <c r="C23" s="167"/>
      <c r="D23" s="167"/>
      <c r="E23" s="167"/>
      <c r="F23" s="167"/>
      <c r="G23" s="167"/>
      <c r="H23" s="168"/>
    </row>
    <row r="24">
      <c r="A24" s="165" t="s">
        <v>219</v>
      </c>
      <c r="B24" s="166" t="s">
        <v>465</v>
      </c>
      <c r="C24" s="166" t="s">
        <v>220</v>
      </c>
      <c r="D24" s="166" t="s">
        <v>221</v>
      </c>
      <c r="E24" s="167"/>
      <c r="F24" s="167"/>
      <c r="G24" s="167"/>
      <c r="H24" s="168"/>
    </row>
    <row r="25">
      <c r="A25" s="165" t="s">
        <v>222</v>
      </c>
      <c r="B25" s="166" t="s">
        <v>193</v>
      </c>
      <c r="C25" s="167"/>
      <c r="D25" s="167"/>
      <c r="E25" s="167"/>
      <c r="F25" s="167"/>
      <c r="G25" s="167"/>
      <c r="H25" s="168"/>
    </row>
    <row r="26">
      <c r="A26" s="165" t="s">
        <v>223</v>
      </c>
      <c r="B26" s="166" t="s">
        <v>465</v>
      </c>
      <c r="C26" s="166" t="s">
        <v>220</v>
      </c>
      <c r="D26" s="166" t="s">
        <v>224</v>
      </c>
      <c r="E26" s="167"/>
      <c r="F26" s="167"/>
      <c r="G26" s="167"/>
      <c r="H26" s="168"/>
    </row>
    <row r="27">
      <c r="A27" s="165" t="s">
        <v>225</v>
      </c>
      <c r="B27" s="166" t="s">
        <v>156</v>
      </c>
      <c r="C27" s="167"/>
      <c r="D27" s="167"/>
      <c r="E27" s="167"/>
      <c r="F27" s="167"/>
      <c r="G27" s="167"/>
      <c r="H27" s="168"/>
    </row>
    <row r="28">
      <c r="A28" s="165" t="s">
        <v>226</v>
      </c>
      <c r="B28" s="166">
        <v>10.0</v>
      </c>
      <c r="C28" s="166" t="s">
        <v>227</v>
      </c>
      <c r="D28" s="166" t="s">
        <v>466</v>
      </c>
      <c r="E28" s="166" t="s">
        <v>228</v>
      </c>
      <c r="F28" s="167"/>
      <c r="G28" s="167"/>
      <c r="H28" s="168"/>
      <c r="I28" s="196"/>
    </row>
    <row r="29">
      <c r="A29" s="165" t="s">
        <v>230</v>
      </c>
      <c r="B29" s="170" t="s">
        <v>467</v>
      </c>
      <c r="C29" s="167"/>
      <c r="D29" s="167"/>
      <c r="E29" s="167"/>
      <c r="F29" s="167"/>
      <c r="G29" s="167"/>
      <c r="H29" s="168"/>
      <c r="I29" s="10" t="s">
        <v>185</v>
      </c>
    </row>
    <row r="30">
      <c r="A30" s="197" t="s">
        <v>232</v>
      </c>
      <c r="B30" s="170" t="s">
        <v>468</v>
      </c>
      <c r="C30" s="166"/>
      <c r="D30" s="167"/>
      <c r="E30" s="167"/>
      <c r="F30" s="167"/>
      <c r="G30" s="167"/>
      <c r="H30" s="168"/>
      <c r="I30" s="10" t="s">
        <v>185</v>
      </c>
    </row>
    <row r="31">
      <c r="A31" s="197" t="s">
        <v>234</v>
      </c>
      <c r="B31" s="170" t="s">
        <v>445</v>
      </c>
      <c r="C31" s="166"/>
      <c r="D31" s="167"/>
      <c r="E31" s="167"/>
      <c r="F31" s="167"/>
      <c r="G31" s="167"/>
      <c r="H31" s="168"/>
      <c r="I31" s="10" t="s">
        <v>185</v>
      </c>
    </row>
    <row r="32">
      <c r="A32" s="376" t="s">
        <v>236</v>
      </c>
      <c r="B32" s="183" t="s">
        <v>237</v>
      </c>
      <c r="C32" s="183" t="s">
        <v>238</v>
      </c>
      <c r="D32" s="167"/>
      <c r="E32" s="167"/>
      <c r="F32" s="167"/>
      <c r="G32" s="167"/>
      <c r="H32" s="168"/>
    </row>
    <row r="33">
      <c r="A33" s="199"/>
      <c r="B33" s="183" t="s">
        <v>239</v>
      </c>
      <c r="C33" s="183"/>
      <c r="D33" s="167"/>
      <c r="E33" s="167"/>
      <c r="F33" s="167"/>
      <c r="G33" s="167"/>
      <c r="H33" s="168"/>
    </row>
    <row r="34">
      <c r="A34" s="199"/>
      <c r="B34" s="183" t="s">
        <v>240</v>
      </c>
      <c r="C34" s="183"/>
      <c r="D34" s="167"/>
      <c r="E34" s="167"/>
      <c r="F34" s="167"/>
      <c r="G34" s="167"/>
      <c r="H34" s="168"/>
    </row>
    <row r="35">
      <c r="A35" s="199"/>
      <c r="B35" s="183" t="s">
        <v>241</v>
      </c>
      <c r="C35" s="183"/>
      <c r="D35" s="167"/>
      <c r="E35" s="167"/>
      <c r="F35" s="167"/>
      <c r="G35" s="167"/>
      <c r="H35" s="168"/>
    </row>
    <row r="36">
      <c r="A36" s="199"/>
      <c r="B36" s="183" t="s">
        <v>242</v>
      </c>
      <c r="C36" s="183"/>
      <c r="D36" s="167"/>
      <c r="E36" s="167"/>
      <c r="F36" s="167"/>
      <c r="G36" s="167"/>
      <c r="H36" s="168"/>
    </row>
    <row r="37">
      <c r="A37" s="377"/>
      <c r="B37" s="166" t="s">
        <v>469</v>
      </c>
      <c r="C37" s="167"/>
      <c r="D37" s="167"/>
      <c r="E37" s="167"/>
      <c r="F37" s="167"/>
      <c r="G37" s="167"/>
      <c r="H37" s="168"/>
    </row>
    <row r="38">
      <c r="A38" s="378" t="s">
        <v>22</v>
      </c>
      <c r="B38" s="166" t="s">
        <v>470</v>
      </c>
      <c r="C38" s="167"/>
      <c r="D38" s="167"/>
      <c r="E38" s="167"/>
      <c r="F38" s="167"/>
      <c r="G38" s="167"/>
      <c r="H38" s="168"/>
    </row>
    <row r="39">
      <c r="A39" s="379"/>
      <c r="B39" s="166" t="s">
        <v>471</v>
      </c>
      <c r="C39" s="167"/>
      <c r="D39" s="167"/>
      <c r="E39" s="167"/>
      <c r="F39" s="167"/>
      <c r="G39" s="167"/>
      <c r="H39" s="168"/>
    </row>
    <row r="40">
      <c r="A40" s="379"/>
      <c r="B40" s="166" t="s">
        <v>472</v>
      </c>
      <c r="C40" s="167"/>
      <c r="D40" s="167"/>
      <c r="E40" s="167"/>
      <c r="F40" s="167"/>
      <c r="G40" s="167"/>
      <c r="H40" s="168"/>
    </row>
    <row r="41">
      <c r="A41" s="379"/>
      <c r="B41" s="172" t="s">
        <v>473</v>
      </c>
      <c r="C41" s="171"/>
      <c r="D41" s="171"/>
      <c r="E41" s="171"/>
      <c r="F41" s="171"/>
      <c r="G41" s="171"/>
      <c r="H41" s="173"/>
    </row>
    <row r="42">
      <c r="A42" s="380"/>
      <c r="B42" s="222" t="s">
        <v>474</v>
      </c>
      <c r="H42" s="381"/>
    </row>
    <row r="43">
      <c r="A43" s="202" t="s">
        <v>245</v>
      </c>
      <c r="B43" s="204"/>
      <c r="C43" s="204"/>
      <c r="D43" s="204"/>
      <c r="E43" s="204"/>
      <c r="F43" s="204"/>
      <c r="G43" s="204"/>
      <c r="H43" s="205"/>
      <c r="I43" s="1"/>
    </row>
    <row r="44">
      <c r="A44" s="13" t="s">
        <v>246</v>
      </c>
      <c r="B44" s="7" t="s">
        <v>475</v>
      </c>
      <c r="C44" s="1"/>
      <c r="D44" s="1"/>
      <c r="E44" s="1"/>
      <c r="F44" s="1"/>
      <c r="G44" s="1"/>
      <c r="H44" s="206"/>
      <c r="I44" s="1"/>
    </row>
    <row r="45">
      <c r="A45" s="13" t="s">
        <v>359</v>
      </c>
      <c r="B45" s="208" t="s">
        <v>476</v>
      </c>
      <c r="C45" s="209"/>
      <c r="D45" s="209"/>
      <c r="E45" s="209"/>
      <c r="F45" s="209"/>
      <c r="G45" s="209"/>
      <c r="H45" s="210"/>
      <c r="I45" s="1"/>
    </row>
    <row r="46">
      <c r="A46" s="211" t="s">
        <v>250</v>
      </c>
      <c r="B46" s="212"/>
      <c r="C46" s="212"/>
      <c r="D46" s="212"/>
      <c r="E46" s="212"/>
      <c r="F46" s="212"/>
      <c r="G46" s="212"/>
      <c r="H46" s="213"/>
      <c r="I46" s="212"/>
    </row>
    <row r="47" ht="78.75" customHeight="1">
      <c r="A47" s="214" t="s">
        <v>251</v>
      </c>
      <c r="B47" s="215"/>
      <c r="C47" s="216"/>
      <c r="D47" s="10"/>
      <c r="E47" s="217" t="s">
        <v>253</v>
      </c>
      <c r="F47" s="218"/>
      <c r="G47" s="218"/>
      <c r="I47" s="218"/>
    </row>
    <row r="48" ht="18.75" customHeight="1">
      <c r="A48" s="382" t="s">
        <v>384</v>
      </c>
      <c r="B48" s="220" t="str">
        <f>IFERROR(__xludf.DUMMYFUNCTION("VLOOKUP(C48,IMPORTRANGE(""https://docs.google.com/spreadsheets/d/1oJmkDK37Qizzdaxn4KCwh1BMwdNWuHCx3AGH8BC9yu0/edit?gid=781951868#gid=781951868"",""キャラ!D:F""),3,false)"),"#N/A")</f>
        <v>#N/A</v>
      </c>
      <c r="C48" s="383"/>
      <c r="D48" s="10" t="s">
        <v>477</v>
      </c>
      <c r="E48" s="218"/>
      <c r="F48" s="218"/>
      <c r="I48" s="218"/>
    </row>
    <row r="49">
      <c r="A49" s="382" t="s">
        <v>386</v>
      </c>
      <c r="B49" s="384"/>
      <c r="C49" s="385"/>
      <c r="E49" s="217" t="s">
        <v>258</v>
      </c>
      <c r="F49" s="218"/>
      <c r="I49" s="218"/>
    </row>
    <row r="50">
      <c r="A50" s="382" t="s">
        <v>478</v>
      </c>
      <c r="B50" s="220" t="str">
        <f>IFERROR(__xludf.DUMMYFUNCTION("VLOOKUP(C50,IMPORTRANGE(""https://docs.google.com/spreadsheets/d/1oJmkDK37Qizzdaxn4KCwh1BMwdNWuHCx3AGH8BC9yu0/edit?gid=781951868#gid=781951868"",""キャラ!D:F""),3,false)"),"#N/A")</f>
        <v>#N/A</v>
      </c>
      <c r="C50" s="383"/>
      <c r="E50" s="319"/>
      <c r="F50" s="218"/>
      <c r="I50" s="218"/>
    </row>
    <row r="51">
      <c r="A51" s="382" t="s">
        <v>479</v>
      </c>
      <c r="B51" s="386"/>
      <c r="C51" s="387"/>
      <c r="E51" s="319"/>
      <c r="F51" s="218"/>
      <c r="I51" s="218"/>
    </row>
    <row r="52">
      <c r="A52" s="382" t="s">
        <v>480</v>
      </c>
      <c r="B52" s="220" t="str">
        <f>IFERROR(__xludf.DUMMYFUNCTION("VLOOKUP(C52,IMPORTRANGE(""https://docs.google.com/spreadsheets/d/1oJmkDK37Qizzdaxn4KCwh1BMwdNWuHCx3AGH8BC9yu0/edit?gid=781951868#gid=781951868"",""キャラ!D:F""),3,false)"),"#N/A")</f>
        <v>#N/A</v>
      </c>
      <c r="C52" s="383"/>
      <c r="E52" s="319"/>
      <c r="F52" s="218"/>
      <c r="I52" s="218"/>
    </row>
    <row r="53">
      <c r="A53" s="382" t="s">
        <v>481</v>
      </c>
      <c r="B53" s="386"/>
      <c r="C53" s="387"/>
      <c r="E53" s="319"/>
      <c r="F53" s="218"/>
      <c r="I53" s="218"/>
    </row>
    <row r="54">
      <c r="A54" s="382" t="s">
        <v>482</v>
      </c>
      <c r="B54" s="220" t="str">
        <f>IFERROR(__xludf.DUMMYFUNCTION("VLOOKUP(C54,IMPORTRANGE(""https://docs.google.com/spreadsheets/d/1oJmkDK37Qizzdaxn4KCwh1BMwdNWuHCx3AGH8BC9yu0/edit?gid=781951868#gid=781951868"",""キャラ!D:F""),3,false)"),"#N/A")</f>
        <v>#N/A</v>
      </c>
      <c r="C54" s="383"/>
      <c r="E54" s="319"/>
      <c r="F54" s="218"/>
      <c r="I54" s="218"/>
    </row>
    <row r="55">
      <c r="A55" s="382" t="s">
        <v>483</v>
      </c>
      <c r="B55" s="386"/>
      <c r="C55" s="387"/>
      <c r="E55" s="319"/>
      <c r="F55" s="218"/>
      <c r="I55" s="218"/>
    </row>
    <row r="56">
      <c r="A56" s="388" t="s">
        <v>484</v>
      </c>
      <c r="B56" s="220" t="str">
        <f>IFERROR(__xludf.DUMMYFUNCTION("VLOOKUP(C56,IMPORTRANGE(""https://docs.google.com/spreadsheets/d/1oJmkDK37Qizzdaxn4KCwh1BMwdNWuHCx3AGH8BC9yu0/edit?gid=781951868#gid=781951868"",""キャラ!D:F""),3,false)"),"#N/A")</f>
        <v>#N/A</v>
      </c>
      <c r="C56" s="383"/>
      <c r="E56" s="319"/>
      <c r="F56" s="218"/>
      <c r="I56" s="218"/>
    </row>
    <row r="57">
      <c r="A57" s="388" t="s">
        <v>485</v>
      </c>
      <c r="B57" s="386"/>
      <c r="C57" s="387"/>
      <c r="E57" s="319"/>
      <c r="F57" s="218"/>
      <c r="I57" s="218"/>
    </row>
    <row r="58" ht="78.75" customHeight="1">
      <c r="A58" s="214" t="s">
        <v>260</v>
      </c>
      <c r="B58" s="225"/>
      <c r="C58" s="226"/>
      <c r="E58" s="217" t="s">
        <v>253</v>
      </c>
      <c r="F58" s="219" t="s">
        <v>262</v>
      </c>
      <c r="I58" s="218"/>
    </row>
    <row r="59">
      <c r="A59" s="227" t="s">
        <v>263</v>
      </c>
      <c r="B59" s="204"/>
      <c r="C59" s="204"/>
      <c r="D59" s="204"/>
      <c r="E59" s="204"/>
      <c r="F59" s="204"/>
      <c r="G59" s="389"/>
      <c r="H59" s="390"/>
      <c r="I59" s="389"/>
    </row>
    <row r="60">
      <c r="A60" s="1"/>
      <c r="B60" s="1"/>
      <c r="C60" s="1"/>
      <c r="D60" s="1"/>
      <c r="E60" s="1"/>
      <c r="F60" s="1"/>
      <c r="H60" s="381"/>
    </row>
    <row r="61">
      <c r="A61" s="1"/>
      <c r="B61" s="229" t="s">
        <v>264</v>
      </c>
      <c r="C61" s="229" t="s">
        <v>265</v>
      </c>
      <c r="D61" s="229" t="s">
        <v>266</v>
      </c>
      <c r="E61" s="3" t="s">
        <v>267</v>
      </c>
      <c r="F61" s="1"/>
      <c r="H61" s="381"/>
    </row>
    <row r="62">
      <c r="A62" s="1" t="s">
        <v>269</v>
      </c>
      <c r="B62" s="391">
        <v>0.015</v>
      </c>
      <c r="C62" s="231">
        <f t="shared" ref="C62:C65" si="1">countif($C$70:$C$110,A62)</f>
        <v>13</v>
      </c>
      <c r="D62" s="232">
        <f t="shared" ref="D62:D65" si="2">$D$66*B62</f>
        <v>1755</v>
      </c>
      <c r="E62" s="233">
        <f t="shared" ref="E62:E65" si="3">IFERROR(D62/C62,"0")</f>
        <v>135</v>
      </c>
      <c r="F62" s="1"/>
      <c r="H62" s="381"/>
    </row>
    <row r="63">
      <c r="A63" s="1" t="s">
        <v>270</v>
      </c>
      <c r="B63" s="234">
        <v>0.1</v>
      </c>
      <c r="C63" s="231">
        <f t="shared" si="1"/>
        <v>9</v>
      </c>
      <c r="D63" s="232">
        <f t="shared" si="2"/>
        <v>11700</v>
      </c>
      <c r="E63" s="233">
        <f t="shared" si="3"/>
        <v>1300</v>
      </c>
      <c r="F63" s="1"/>
      <c r="H63" s="381"/>
    </row>
    <row r="64">
      <c r="A64" s="1" t="s">
        <v>271</v>
      </c>
      <c r="B64" s="234">
        <v>0.35</v>
      </c>
      <c r="C64" s="231">
        <f t="shared" si="1"/>
        <v>10</v>
      </c>
      <c r="D64" s="232">
        <f t="shared" si="2"/>
        <v>40950</v>
      </c>
      <c r="E64" s="233">
        <f t="shared" si="3"/>
        <v>4095</v>
      </c>
      <c r="F64" s="1"/>
      <c r="H64" s="381"/>
    </row>
    <row r="65">
      <c r="A65" s="235" t="s">
        <v>272</v>
      </c>
      <c r="B65" s="392">
        <v>0.535</v>
      </c>
      <c r="C65" s="231">
        <f t="shared" si="1"/>
        <v>9</v>
      </c>
      <c r="D65" s="237">
        <f t="shared" si="2"/>
        <v>62595</v>
      </c>
      <c r="E65" s="233">
        <f t="shared" si="3"/>
        <v>6955</v>
      </c>
      <c r="F65" s="1"/>
      <c r="H65" s="381"/>
    </row>
    <row r="66">
      <c r="A66" s="231" t="s">
        <v>93</v>
      </c>
      <c r="B66" s="238">
        <f>sum(B62:B65)</f>
        <v>1</v>
      </c>
      <c r="C66" s="239">
        <f>COUNTA(B70:B110)</f>
        <v>41</v>
      </c>
      <c r="D66" s="393">
        <v>117000.0</v>
      </c>
      <c r="E66" s="1"/>
      <c r="F66" s="1"/>
      <c r="H66" s="381"/>
    </row>
    <row r="67">
      <c r="A67" s="1"/>
      <c r="B67" s="1"/>
      <c r="C67" s="1"/>
      <c r="D67" s="1"/>
      <c r="E67" s="1"/>
      <c r="F67" s="1"/>
      <c r="H67" s="381"/>
    </row>
    <row r="68">
      <c r="A68" s="1"/>
      <c r="B68" s="1"/>
      <c r="C68" s="1"/>
      <c r="D68" s="1"/>
      <c r="E68" s="1"/>
      <c r="F68" s="1"/>
      <c r="H68" s="381"/>
    </row>
    <row r="69">
      <c r="A69" s="243" t="s">
        <v>273</v>
      </c>
      <c r="B69" s="394" t="s">
        <v>274</v>
      </c>
      <c r="C69" s="325" t="s">
        <v>364</v>
      </c>
      <c r="D69" s="245" t="s">
        <v>276</v>
      </c>
      <c r="E69" s="394" t="s">
        <v>277</v>
      </c>
      <c r="F69" s="394" t="s">
        <v>278</v>
      </c>
      <c r="H69" s="395"/>
      <c r="I69" s="324"/>
    </row>
    <row r="70">
      <c r="A70" s="263" t="s">
        <v>284</v>
      </c>
      <c r="B70" s="396" t="str">
        <f>IFERROR(__xludf.DUMMYFUNCTION("VLOOKUP(A70,IMPORTRANGE(""https://docs.google.com/spreadsheets/d/1oJmkDK37Qizzdaxn4KCwh1BMwdNWuHCx3AGH8BC9yu0/edit?gid=781951868#gid=781951868"",""キャラ!D:F""),3,false)"),"&lt;黄昏&gt; ロイド")</f>
        <v>&lt;黄昏&gt; ロイド</v>
      </c>
      <c r="C70" s="255" t="s">
        <v>269</v>
      </c>
      <c r="D70" s="397">
        <f t="shared" ref="D70:D110" si="4">IFERROR(vlookup(C70,$A$60:$E$465,5,false),"")</f>
        <v>135</v>
      </c>
      <c r="E70" s="252">
        <f t="shared" ref="E70:E82" si="5">IFERROR(rounddown($F$70/$C$62,5),"0%")</f>
        <v>0.00115</v>
      </c>
      <c r="F70" s="398">
        <v>0.015</v>
      </c>
      <c r="H70" s="381"/>
    </row>
    <row r="71">
      <c r="A71" s="263" t="s">
        <v>285</v>
      </c>
      <c r="B71" s="396" t="str">
        <f>IFERROR(__xludf.DUMMYFUNCTION("VLOOKUP(A71,IMPORTRANGE(""https://docs.google.com/spreadsheets/d/1oJmkDK37Qizzdaxn4KCwh1BMwdNWuHCx3AGH8BC9yu0/edit?gid=781951868#gid=781951868"",""キャラ!D:F""),3,false)"),"&lt;いばら姫&gt; ヨル")</f>
        <v>&lt;いばら姫&gt; ヨル</v>
      </c>
      <c r="C71" s="399" t="s">
        <v>269</v>
      </c>
      <c r="D71" s="397">
        <f t="shared" si="4"/>
        <v>135</v>
      </c>
      <c r="E71" s="252">
        <f t="shared" si="5"/>
        <v>0.00115</v>
      </c>
      <c r="F71" s="257"/>
      <c r="H71" s="381"/>
    </row>
    <row r="72">
      <c r="A72" s="263" t="s">
        <v>286</v>
      </c>
      <c r="B72" s="396" t="str">
        <f>IFERROR(__xludf.DUMMYFUNCTION("VLOOKUP(A72,IMPORTRANGE(""https://docs.google.com/spreadsheets/d/1oJmkDK37Qizzdaxn4KCwh1BMwdNWuHCx3AGH8BC9yu0/edit?gid=781951868#gid=781951868"",""キャラ!D:F""),3,false)"),"わくわく アーニャ")</f>
        <v>わくわく アーニャ</v>
      </c>
      <c r="C72" s="399" t="s">
        <v>269</v>
      </c>
      <c r="D72" s="397">
        <f t="shared" si="4"/>
        <v>135</v>
      </c>
      <c r="E72" s="252">
        <f t="shared" si="5"/>
        <v>0.00115</v>
      </c>
      <c r="F72" s="257"/>
      <c r="H72" s="381"/>
    </row>
    <row r="73">
      <c r="A73" s="263" t="s">
        <v>287</v>
      </c>
      <c r="B73" s="396" t="str">
        <f>IFERROR(__xludf.DUMMYFUNCTION("VLOOKUP(A73,IMPORTRANGE(""https://docs.google.com/spreadsheets/d/1oJmkDK37Qizzdaxn4KCwh1BMwdNWuHCx3AGH8BC9yu0/edit?gid=781951868#gid=781951868"",""キャラ!D:F""),3,false)"),"ターボババアの霊力 オカルン")</f>
        <v>ターボババアの霊力 オカルン</v>
      </c>
      <c r="C73" s="399" t="s">
        <v>269</v>
      </c>
      <c r="D73" s="397">
        <f t="shared" si="4"/>
        <v>135</v>
      </c>
      <c r="E73" s="252">
        <f t="shared" si="5"/>
        <v>0.00115</v>
      </c>
      <c r="F73" s="257"/>
      <c r="H73" s="381"/>
    </row>
    <row r="74">
      <c r="A74" s="263" t="s">
        <v>288</v>
      </c>
      <c r="B74" s="396" t="str">
        <f>IFERROR(__xludf.DUMMYFUNCTION("VLOOKUP(A74,IMPORTRANGE(""https://docs.google.com/spreadsheets/d/1oJmkDK37Qizzdaxn4KCwh1BMwdNWuHCx3AGH8BC9yu0/edit?gid=781951868#gid=781951868"",""キャラ!D:F""),3,false)"),"囚われの王女 姫様")</f>
        <v>囚われの王女 姫様</v>
      </c>
      <c r="C74" s="399" t="s">
        <v>269</v>
      </c>
      <c r="D74" s="397">
        <f t="shared" si="4"/>
        <v>135</v>
      </c>
      <c r="E74" s="252">
        <f t="shared" si="5"/>
        <v>0.00115</v>
      </c>
      <c r="F74" s="257"/>
      <c r="H74" s="381"/>
    </row>
    <row r="75">
      <c r="A75" s="263" t="s">
        <v>289</v>
      </c>
      <c r="B75" s="396" t="str">
        <f>IFERROR(__xludf.DUMMYFUNCTION("VLOOKUP(A75,IMPORTRANGE(""https://docs.google.com/spreadsheets/d/1oJmkDK37Qizzdaxn4KCwh1BMwdNWuHCx3AGH8BC9yu0/edit?gid=781951868#gid=781951868"",""キャラ!D:F""),3,false)"),"悪魔が恐れる悪魔 チェンソーマン")</f>
        <v>悪魔が恐れる悪魔 チェンソーマン</v>
      </c>
      <c r="C75" s="399" t="s">
        <v>269</v>
      </c>
      <c r="D75" s="397">
        <f t="shared" si="4"/>
        <v>135</v>
      </c>
      <c r="E75" s="252">
        <f t="shared" si="5"/>
        <v>0.00115</v>
      </c>
      <c r="F75" s="257"/>
      <c r="H75" s="381"/>
    </row>
    <row r="76">
      <c r="A76" s="263" t="s">
        <v>290</v>
      </c>
      <c r="B76" s="396" t="str">
        <f>IFERROR(__xludf.DUMMYFUNCTION("VLOOKUP(A76,IMPORTRANGE(""https://docs.google.com/spreadsheets/d/1oJmkDK37Qizzdaxn4KCwh1BMwdNWuHCx3AGH8BC9yu0/edit?gid=781951868#gid=781951868"",""キャラ!D:F""),3,false)"),"隠された英雄の姿 怪獣８号")</f>
        <v>隠された英雄の姿 怪獣８号</v>
      </c>
      <c r="C76" s="399" t="s">
        <v>269</v>
      </c>
      <c r="D76" s="397">
        <f t="shared" si="4"/>
        <v>135</v>
      </c>
      <c r="E76" s="252">
        <f t="shared" si="5"/>
        <v>0.00115</v>
      </c>
      <c r="F76" s="257"/>
      <c r="H76" s="381"/>
    </row>
    <row r="77">
      <c r="A77" s="263" t="s">
        <v>291</v>
      </c>
      <c r="B77" s="400" t="str">
        <f>IFERROR(__xludf.DUMMYFUNCTION("VLOOKUP(A77,IMPORTRANGE(""https://docs.google.com/spreadsheets/d/1oJmkDK37Qizzdaxn4KCwh1BMwdNWuHCx3AGH8BC9yu0/edit?gid=781951868#gid=781951868"",""キャラ!D:F""),3,false)"),"リリエルに捧ぐ愛 天乃 リリサ")</f>
        <v>リリエルに捧ぐ愛 天乃 リリサ</v>
      </c>
      <c r="C77" s="399" t="s">
        <v>269</v>
      </c>
      <c r="D77" s="397">
        <f t="shared" si="4"/>
        <v>135</v>
      </c>
      <c r="E77" s="252">
        <f t="shared" si="5"/>
        <v>0.00115</v>
      </c>
      <c r="F77" s="257"/>
      <c r="H77" s="381"/>
    </row>
    <row r="78">
      <c r="A78" s="263" t="s">
        <v>292</v>
      </c>
      <c r="B78" s="400" t="str">
        <f>IFERROR(__xludf.DUMMYFUNCTION("VLOOKUP(A78,IMPORTRANGE(""https://docs.google.com/spreadsheets/d/1oJmkDK37Qizzdaxn4KCwh1BMwdNWuHCx3AGH8BC9yu0/edit?gid=781951868#gid=781951868"",""キャラ!D:F""),3,false)"),"コスプレに託す乙女心 橘 美花莉")</f>
        <v>コスプレに託す乙女心 橘 美花莉</v>
      </c>
      <c r="C78" s="399" t="s">
        <v>269</v>
      </c>
      <c r="D78" s="397">
        <f t="shared" si="4"/>
        <v>135</v>
      </c>
      <c r="E78" s="252">
        <f t="shared" si="5"/>
        <v>0.00115</v>
      </c>
      <c r="F78" s="257"/>
      <c r="H78" s="381"/>
    </row>
    <row r="79">
      <c r="A79" s="263" t="s">
        <v>293</v>
      </c>
      <c r="B79" s="400" t="str">
        <f>IFERROR(__xludf.DUMMYFUNCTION("VLOOKUP(A79,IMPORTRANGE(""https://docs.google.com/spreadsheets/d/1oJmkDK37Qizzdaxn4KCwh1BMwdNWuHCx3AGH8BC9yu0/edit?gid=781951868#gid=781951868"",""キャラ!D:F""),3,false)"),"誇り高き魔都の剣姫 羽前 京香")</f>
        <v>誇り高き魔都の剣姫 羽前 京香</v>
      </c>
      <c r="C79" s="399" t="s">
        <v>269</v>
      </c>
      <c r="D79" s="397">
        <f t="shared" si="4"/>
        <v>135</v>
      </c>
      <c r="E79" s="252">
        <f t="shared" si="5"/>
        <v>0.00115</v>
      </c>
      <c r="F79" s="257"/>
      <c r="H79" s="381"/>
    </row>
    <row r="80">
      <c r="A80" s="263" t="s">
        <v>294</v>
      </c>
      <c r="B80" s="396" t="str">
        <f>IFERROR(__xludf.DUMMYFUNCTION("VLOOKUP(A80,IMPORTRANGE(""https://docs.google.com/spreadsheets/d/1oJmkDK37Qizzdaxn4KCwh1BMwdNWuHCx3AGH8BC9yu0/edit?gid=781951868#gid=781951868"",""キャラ!D:F""),3,false)"),"がらんの画眉丸")</f>
        <v>がらんの画眉丸</v>
      </c>
      <c r="C80" s="399" t="s">
        <v>269</v>
      </c>
      <c r="D80" s="397">
        <f t="shared" si="4"/>
        <v>135</v>
      </c>
      <c r="E80" s="252">
        <f t="shared" si="5"/>
        <v>0.00115</v>
      </c>
      <c r="F80" s="257"/>
      <c r="H80" s="381"/>
    </row>
    <row r="81">
      <c r="A81" s="263" t="s">
        <v>295</v>
      </c>
      <c r="B81" s="400" t="str">
        <f>IFERROR(__xludf.DUMMYFUNCTION("VLOOKUP(A81,IMPORTRANGE(""https://docs.google.com/spreadsheets/d/1oJmkDK37Qizzdaxn4KCwh1BMwdNWuHCx3AGH8BC9yu0/edit?gid=781951868#gid=781951868"",""キャラ!D:F""),3,false)"),"新人魔法少女 桜木 カナ")</f>
        <v>新人魔法少女 桜木 カナ</v>
      </c>
      <c r="C81" s="399" t="s">
        <v>269</v>
      </c>
      <c r="D81" s="397">
        <f t="shared" si="4"/>
        <v>135</v>
      </c>
      <c r="E81" s="252">
        <f t="shared" si="5"/>
        <v>0.00115</v>
      </c>
      <c r="F81" s="257"/>
      <c r="H81" s="381"/>
    </row>
    <row r="82">
      <c r="A82" s="263" t="s">
        <v>296</v>
      </c>
      <c r="B82" s="400" t="str">
        <f>IFERROR(__xludf.DUMMYFUNCTION("VLOOKUP(A82,IMPORTRANGE(""https://docs.google.com/spreadsheets/d/1oJmkDK37Qizzdaxn4KCwh1BMwdNWuHCx3AGH8BC9yu0/edit?gid=781951868#gid=781951868"",""キャラ!D:F""),3,false)"),"影のウシオ 小舟 潮")</f>
        <v>影のウシオ 小舟 潮</v>
      </c>
      <c r="C82" s="399" t="s">
        <v>269</v>
      </c>
      <c r="D82" s="397">
        <f t="shared" si="4"/>
        <v>135</v>
      </c>
      <c r="E82" s="252">
        <f t="shared" si="5"/>
        <v>0.00115</v>
      </c>
      <c r="F82" s="264"/>
      <c r="H82" s="381"/>
    </row>
    <row r="83">
      <c r="A83" s="248" t="s">
        <v>304</v>
      </c>
      <c r="B83" s="396" t="str">
        <f>IFERROR(__xludf.DUMMYFUNCTION("VLOOKUP(A83,IMPORTRANGE(""https://docs.google.com/spreadsheets/d/1oJmkDK37Qizzdaxn4KCwh1BMwdNWuHCx3AGH8BC9yu0/edit?gid=781951868#gid=781951868"",""キャラ!D:F""),3,false)"),"モモ")</f>
        <v>モモ</v>
      </c>
      <c r="C83" s="401" t="s">
        <v>270</v>
      </c>
      <c r="D83" s="397">
        <f t="shared" si="4"/>
        <v>1300</v>
      </c>
      <c r="E83" s="252">
        <f t="shared" ref="E83:E91" si="6">IFERROR(rounddown($F$83/$C$63,5),"0%")</f>
        <v>0.01111</v>
      </c>
      <c r="F83" s="253">
        <v>0.1</v>
      </c>
      <c r="H83" s="381"/>
    </row>
    <row r="84">
      <c r="A84" s="248" t="s">
        <v>305</v>
      </c>
      <c r="B84" s="396" t="str">
        <f>IFERROR(__xludf.DUMMYFUNCTION("VLOOKUP(A84,IMPORTRANGE(""https://docs.google.com/spreadsheets/d/1oJmkDK37Qizzdaxn4KCwh1BMwdNWuHCx3AGH8BC9yu0/edit?gid=781951868#gid=781951868"",""キャラ!D:F""),3,false)"),"早川 アキ")</f>
        <v>早川 アキ</v>
      </c>
      <c r="C84" s="401" t="s">
        <v>270</v>
      </c>
      <c r="D84" s="397">
        <f t="shared" si="4"/>
        <v>1300</v>
      </c>
      <c r="E84" s="252">
        <f t="shared" si="6"/>
        <v>0.01111</v>
      </c>
      <c r="F84" s="257"/>
      <c r="H84" s="381"/>
    </row>
    <row r="85">
      <c r="A85" s="248" t="s">
        <v>306</v>
      </c>
      <c r="B85" s="400" t="str">
        <f>IFERROR(__xludf.DUMMYFUNCTION("VLOOKUP(A85,IMPORTRANGE(""https://docs.google.com/spreadsheets/d/1oJmkDK37Qizzdaxn4KCwh1BMwdNWuHCx3AGH8BC9yu0/edit?gid=781951868#gid=781951868"",""キャラ!D:F""),3,false)"),"パワー")</f>
        <v>パワー</v>
      </c>
      <c r="C85" s="401" t="s">
        <v>270</v>
      </c>
      <c r="D85" s="397">
        <f t="shared" si="4"/>
        <v>1300</v>
      </c>
      <c r="E85" s="252">
        <f t="shared" si="6"/>
        <v>0.01111</v>
      </c>
      <c r="F85" s="257"/>
      <c r="H85" s="381"/>
    </row>
    <row r="86">
      <c r="A86" s="248" t="s">
        <v>307</v>
      </c>
      <c r="B86" s="400" t="str">
        <f>IFERROR(__xludf.DUMMYFUNCTION("VLOOKUP(A86,IMPORTRANGE(""https://docs.google.com/spreadsheets/d/1oJmkDK37Qizzdaxn4KCwh1BMwdNWuHCx3AGH8BC9yu0/edit?gid=781951868#gid=781951868"",""キャラ!D:F""),3,false)"),"四ノ宮 キコル")</f>
        <v>四ノ宮 キコル</v>
      </c>
      <c r="C86" s="401" t="s">
        <v>270</v>
      </c>
      <c r="D86" s="397">
        <f t="shared" si="4"/>
        <v>1300</v>
      </c>
      <c r="E86" s="252">
        <f t="shared" si="6"/>
        <v>0.01111</v>
      </c>
      <c r="F86" s="257"/>
      <c r="H86" s="381"/>
    </row>
    <row r="87">
      <c r="A87" s="248" t="s">
        <v>308</v>
      </c>
      <c r="B87" s="400" t="str">
        <f>IFERROR(__xludf.DUMMYFUNCTION("VLOOKUP(A87,IMPORTRANGE(""https://docs.google.com/spreadsheets/d/1oJmkDK37Qizzdaxn4KCwh1BMwdNWuHCx3AGH8BC9yu0/edit?gid=781951868#gid=781951868"",""キャラ!D:F""),3,false)"),"鴨乃橋 ロン")</f>
        <v>鴨乃橋 ロン</v>
      </c>
      <c r="C87" s="401" t="s">
        <v>270</v>
      </c>
      <c r="D87" s="397">
        <f t="shared" si="4"/>
        <v>1300</v>
      </c>
      <c r="E87" s="252">
        <f t="shared" si="6"/>
        <v>0.01111</v>
      </c>
      <c r="F87" s="257"/>
      <c r="H87" s="381"/>
    </row>
    <row r="88">
      <c r="A88" s="248" t="s">
        <v>309</v>
      </c>
      <c r="B88" s="400" t="str">
        <f>IFERROR(__xludf.DUMMYFUNCTION("VLOOKUP(A88,IMPORTRANGE(""https://docs.google.com/spreadsheets/d/1oJmkDK37Qizzdaxn4KCwh1BMwdNWuHCx3AGH8BC9yu0/edit?gid=781951868#gid=781951868"",""キャラ!D:F""),3,false)"),"阿波連 れいな")</f>
        <v>阿波連 れいな</v>
      </c>
      <c r="C88" s="401" t="s">
        <v>270</v>
      </c>
      <c r="D88" s="397">
        <f t="shared" si="4"/>
        <v>1300</v>
      </c>
      <c r="E88" s="252">
        <f t="shared" si="6"/>
        <v>0.01111</v>
      </c>
      <c r="F88" s="257"/>
      <c r="H88" s="381"/>
    </row>
    <row r="89">
      <c r="A89" s="248" t="s">
        <v>310</v>
      </c>
      <c r="B89" s="400" t="str">
        <f>IFERROR(__xludf.DUMMYFUNCTION("VLOOKUP(A89,IMPORTRANGE(""https://docs.google.com/spreadsheets/d/1oJmkDK37Qizzdaxn4KCwh1BMwdNWuHCx3AGH8BC9yu0/edit?gid=781951868#gid=781951868"",""キャラ!D:F""),3,false)"),"山田浅ェ門 佐切")</f>
        <v>山田浅ェ門 佐切</v>
      </c>
      <c r="C89" s="401" t="s">
        <v>270</v>
      </c>
      <c r="D89" s="397">
        <f t="shared" si="4"/>
        <v>1300</v>
      </c>
      <c r="E89" s="252">
        <f t="shared" si="6"/>
        <v>0.01111</v>
      </c>
      <c r="F89" s="257"/>
      <c r="H89" s="381"/>
    </row>
    <row r="90">
      <c r="A90" s="248" t="s">
        <v>311</v>
      </c>
      <c r="B90" s="400" t="str">
        <f>IFERROR(__xludf.DUMMYFUNCTION("VLOOKUP(A90,IMPORTRANGE(""https://docs.google.com/spreadsheets/d/1oJmkDK37Qizzdaxn4KCwh1BMwdNWuHCx3AGH8BC9yu0/edit?gid=781951868#gid=781951868"",""キャラ!D:F""),3,false)"),"冬木 美波")</f>
        <v>冬木 美波</v>
      </c>
      <c r="C90" s="401" t="s">
        <v>270</v>
      </c>
      <c r="D90" s="397">
        <f t="shared" si="4"/>
        <v>1300</v>
      </c>
      <c r="E90" s="252">
        <f t="shared" si="6"/>
        <v>0.01111</v>
      </c>
      <c r="F90" s="257"/>
      <c r="H90" s="381"/>
    </row>
    <row r="91">
      <c r="A91" s="248" t="s">
        <v>312</v>
      </c>
      <c r="B91" s="400" t="str">
        <f>IFERROR(__xludf.DUMMYFUNCTION("VLOOKUP(A91,IMPORTRANGE(""https://docs.google.com/spreadsheets/d/1oJmkDK37Qizzdaxn4KCwh1BMwdNWuHCx3AGH8BC9yu0/edit?gid=781951868#gid=781951868"",""キャラ!D:F""),3,false)"),"秋野 沙友理")</f>
        <v>秋野 沙友理</v>
      </c>
      <c r="C91" s="401" t="s">
        <v>270</v>
      </c>
      <c r="D91" s="397">
        <f t="shared" si="4"/>
        <v>1300</v>
      </c>
      <c r="E91" s="252">
        <f t="shared" si="6"/>
        <v>0.01111</v>
      </c>
      <c r="F91" s="264"/>
      <c r="H91" s="381"/>
    </row>
    <row r="92">
      <c r="A92" s="248" t="s">
        <v>313</v>
      </c>
      <c r="B92" s="400" t="str">
        <f>IFERROR(__xludf.DUMMYFUNCTION("VLOOKUP(A92,IMPORTRANGE(""https://docs.google.com/spreadsheets/d/1oJmkDK37Qizzdaxn4KCwh1BMwdNWuHCx3AGH8BC9yu0/edit?gid=781951868#gid=781951868"",""キャラ!D:F""),3,false)"),"トーチャー・トルチュール")</f>
        <v>トーチャー・トルチュール</v>
      </c>
      <c r="C92" s="402" t="s">
        <v>271</v>
      </c>
      <c r="D92" s="397">
        <f t="shared" si="4"/>
        <v>4095</v>
      </c>
      <c r="E92" s="252">
        <f t="shared" ref="E92:E101" si="7">IFERROR(rounddown($F$92/$C$64,5),"0%")</f>
        <v>0.035</v>
      </c>
      <c r="F92" s="253">
        <v>0.35</v>
      </c>
      <c r="H92" s="381"/>
    </row>
    <row r="93">
      <c r="A93" s="248" t="s">
        <v>314</v>
      </c>
      <c r="B93" s="400" t="str">
        <f>IFERROR(__xludf.DUMMYFUNCTION("VLOOKUP(A93,IMPORTRANGE(""https://docs.google.com/spreadsheets/d/1oJmkDK37Qizzdaxn4KCwh1BMwdNWuHCx3AGH8BC9yu0/edit?gid=781951868#gid=781951868"",""キャラ!D:F""),3,false)"),"清峰 葉流火")</f>
        <v>清峰 葉流火</v>
      </c>
      <c r="C93" s="402" t="s">
        <v>271</v>
      </c>
      <c r="D93" s="397">
        <f t="shared" si="4"/>
        <v>4095</v>
      </c>
      <c r="E93" s="252">
        <f t="shared" si="7"/>
        <v>0.035</v>
      </c>
      <c r="F93" s="257"/>
      <c r="H93" s="381"/>
    </row>
    <row r="94">
      <c r="A94" s="248" t="s">
        <v>315</v>
      </c>
      <c r="B94" s="400" t="str">
        <f>IFERROR(__xludf.DUMMYFUNCTION("VLOOKUP(A94,IMPORTRANGE(""https://docs.google.com/spreadsheets/d/1oJmkDK37Qizzdaxn4KCwh1BMwdNWuHCx3AGH8BC9yu0/edit?gid=781951868#gid=781951868"",""キャラ!D:F""),3,false)"),"要 圭")</f>
        <v>要 圭</v>
      </c>
      <c r="C94" s="402" t="s">
        <v>271</v>
      </c>
      <c r="D94" s="397">
        <f t="shared" si="4"/>
        <v>4095</v>
      </c>
      <c r="E94" s="252">
        <f t="shared" si="7"/>
        <v>0.035</v>
      </c>
      <c r="F94" s="257"/>
      <c r="H94" s="381"/>
    </row>
    <row r="95">
      <c r="A95" s="248" t="s">
        <v>316</v>
      </c>
      <c r="B95" s="400" t="str">
        <f>IFERROR(__xludf.DUMMYFUNCTION("VLOOKUP(A95,IMPORTRANGE(""https://docs.google.com/spreadsheets/d/1oJmkDK37Qizzdaxn4KCwh1BMwdNWuHCx3AGH8BC9yu0/edit?gid=781951868#gid=781951868"",""キャラ!D:F""),3,false)"),"市川 レノ")</f>
        <v>市川 レノ</v>
      </c>
      <c r="C95" s="402" t="s">
        <v>271</v>
      </c>
      <c r="D95" s="397">
        <f t="shared" si="4"/>
        <v>4095</v>
      </c>
      <c r="E95" s="252">
        <f t="shared" si="7"/>
        <v>0.035</v>
      </c>
      <c r="F95" s="257"/>
      <c r="H95" s="381"/>
    </row>
    <row r="96">
      <c r="A96" s="248" t="s">
        <v>317</v>
      </c>
      <c r="B96" s="400" t="str">
        <f>IFERROR(__xludf.DUMMYFUNCTION("VLOOKUP(A96,IMPORTRANGE(""https://docs.google.com/spreadsheets/d/1oJmkDK37Qizzdaxn4KCwh1BMwdNWuHCx3AGH8BC9yu0/edit?gid=781951868#gid=781951868"",""キャラ!D:F""),3,false)"),"東 日万凛")</f>
        <v>東 日万凛</v>
      </c>
      <c r="C96" s="402" t="s">
        <v>271</v>
      </c>
      <c r="D96" s="397">
        <f t="shared" si="4"/>
        <v>4095</v>
      </c>
      <c r="E96" s="252">
        <f t="shared" si="7"/>
        <v>0.035</v>
      </c>
      <c r="F96" s="257"/>
      <c r="H96" s="381"/>
    </row>
    <row r="97">
      <c r="A97" s="248" t="s">
        <v>318</v>
      </c>
      <c r="B97" s="400" t="str">
        <f>IFERROR(__xludf.DUMMYFUNCTION("VLOOKUP(A97,IMPORTRANGE(""https://docs.google.com/spreadsheets/d/1oJmkDK37Qizzdaxn4KCwh1BMwdNWuHCx3AGH8BC9yu0/edit?gid=781951868#gid=781951868"",""キャラ!D:F""),3,false)"),"駿河 朱々")</f>
        <v>駿河 朱々</v>
      </c>
      <c r="C97" s="402" t="s">
        <v>271</v>
      </c>
      <c r="D97" s="397">
        <f t="shared" si="4"/>
        <v>4095</v>
      </c>
      <c r="E97" s="252">
        <f t="shared" si="7"/>
        <v>0.035</v>
      </c>
      <c r="F97" s="257"/>
      <c r="H97" s="381"/>
    </row>
    <row r="98">
      <c r="A98" s="248" t="s">
        <v>319</v>
      </c>
      <c r="B98" s="400" t="str">
        <f>IFERROR(__xludf.DUMMYFUNCTION("VLOOKUP(A98,IMPORTRANGE(""https://docs.google.com/spreadsheets/d/1oJmkDK37Qizzdaxn4KCwh1BMwdNWuHCx3AGH8BC9yu0/edit?gid=781951868#gid=781951868"",""キャラ!D:F""),3,false)"),"ライドウ")</f>
        <v>ライドウ</v>
      </c>
      <c r="C98" s="402" t="s">
        <v>271</v>
      </c>
      <c r="D98" s="397">
        <f t="shared" si="4"/>
        <v>4095</v>
      </c>
      <c r="E98" s="252">
        <f t="shared" si="7"/>
        <v>0.035</v>
      </c>
      <c r="F98" s="257"/>
      <c r="H98" s="381"/>
    </row>
    <row r="99">
      <c r="A99" s="248" t="s">
        <v>320</v>
      </c>
      <c r="B99" s="400" t="str">
        <f>IFERROR(__xludf.DUMMYFUNCTION("VLOOKUP(A99,IMPORTRANGE(""https://docs.google.com/spreadsheets/d/1oJmkDK37Qizzdaxn4KCwh1BMwdNWuHCx3AGH8BC9yu0/edit?gid=781951868#gid=781951868"",""キャラ!D:F""),3,false)"),"山田浅ェ門 仙汰")</f>
        <v>山田浅ェ門 仙汰</v>
      </c>
      <c r="C99" s="402" t="s">
        <v>271</v>
      </c>
      <c r="D99" s="397">
        <f t="shared" si="4"/>
        <v>4095</v>
      </c>
      <c r="E99" s="252">
        <f t="shared" si="7"/>
        <v>0.035</v>
      </c>
      <c r="F99" s="257"/>
      <c r="H99" s="381"/>
    </row>
    <row r="100">
      <c r="A100" s="248" t="s">
        <v>321</v>
      </c>
      <c r="B100" s="400" t="str">
        <f>IFERROR(__xludf.DUMMYFUNCTION("VLOOKUP(A100,IMPORTRANGE(""https://docs.google.com/spreadsheets/d/1oJmkDK37Qizzdaxn4KCwh1BMwdNWuHCx3AGH8BC9yu0/edit?gid=781951868#gid=781951868"",""キャラ!D:F""),3,false)"),"越谷 仁美")</f>
        <v>越谷 仁美</v>
      </c>
      <c r="C100" s="402" t="s">
        <v>271</v>
      </c>
      <c r="D100" s="397">
        <f t="shared" si="4"/>
        <v>4095</v>
      </c>
      <c r="E100" s="252">
        <f t="shared" si="7"/>
        <v>0.035</v>
      </c>
      <c r="F100" s="257"/>
      <c r="H100" s="381"/>
    </row>
    <row r="101">
      <c r="A101" s="248" t="s">
        <v>322</v>
      </c>
      <c r="B101" s="400" t="str">
        <f>IFERROR(__xludf.DUMMYFUNCTION("VLOOKUP(A101,IMPORTRANGE(""https://docs.google.com/spreadsheets/d/1oJmkDK37Qizzdaxn4KCwh1BMwdNWuHCx3AGH8BC9yu0/edit?gid=781951868#gid=781951868"",""キャラ!D:F""),3,false)"),"小舟 澪")</f>
        <v>小舟 澪</v>
      </c>
      <c r="C101" s="402" t="s">
        <v>271</v>
      </c>
      <c r="D101" s="397">
        <f t="shared" si="4"/>
        <v>4095</v>
      </c>
      <c r="E101" s="252">
        <f t="shared" si="7"/>
        <v>0.035</v>
      </c>
      <c r="F101" s="264"/>
      <c r="H101" s="381"/>
    </row>
    <row r="102">
      <c r="A102" s="248" t="s">
        <v>323</v>
      </c>
      <c r="B102" s="400" t="str">
        <f>IFERROR(__xludf.DUMMYFUNCTION("VLOOKUP(A102,IMPORTRANGE(""https://docs.google.com/spreadsheets/d/1oJmkDK37Qizzdaxn4KCwh1BMwdNWuHCx3AGH8BC9yu0/edit?gid=781951868#gid=781951868"",""キャラ!D:F""),3,false)"),"佐々木")</f>
        <v>佐々木</v>
      </c>
      <c r="C102" s="403" t="s">
        <v>272</v>
      </c>
      <c r="D102" s="397">
        <f t="shared" si="4"/>
        <v>6955</v>
      </c>
      <c r="E102" s="252">
        <f t="shared" ref="E102:E110" si="8">IFERROR(rounddown($F$102/$C$65,5),"0%")</f>
        <v>0.05944</v>
      </c>
      <c r="F102" s="404">
        <v>0.535</v>
      </c>
      <c r="H102" s="381"/>
    </row>
    <row r="103">
      <c r="A103" s="248" t="s">
        <v>324</v>
      </c>
      <c r="B103" s="400" t="str">
        <f>IFERROR(__xludf.DUMMYFUNCTION("VLOOKUP(A103,IMPORTRANGE(""https://docs.google.com/spreadsheets/d/1oJmkDK37Qizzdaxn4KCwh1BMwdNWuHCx3AGH8BC9yu0/edit?gid=781951868#gid=781951868"",""キャラ!D:F""),3,false)"),"文蔵")</f>
        <v>文蔵</v>
      </c>
      <c r="C103" s="403" t="s">
        <v>272</v>
      </c>
      <c r="D103" s="397">
        <f t="shared" si="4"/>
        <v>6955</v>
      </c>
      <c r="E103" s="252">
        <f t="shared" si="8"/>
        <v>0.05944</v>
      </c>
      <c r="F103" s="257"/>
      <c r="H103" s="381"/>
    </row>
    <row r="104">
      <c r="A104" s="248" t="s">
        <v>325</v>
      </c>
      <c r="B104" s="400" t="str">
        <f>IFERROR(__xludf.DUMMYFUNCTION("VLOOKUP(A104,IMPORTRANGE(""https://docs.google.com/spreadsheets/d/1oJmkDK37Qizzdaxn4KCwh1BMwdNWuHCx3AGH8BC9yu0/edit?gid=781951868#gid=781951868"",""キャラ!D:F""),3,false)"),"リコピン")</f>
        <v>リコピン</v>
      </c>
      <c r="C104" s="403" t="s">
        <v>272</v>
      </c>
      <c r="D104" s="397">
        <f t="shared" si="4"/>
        <v>6955</v>
      </c>
      <c r="E104" s="252">
        <f t="shared" si="8"/>
        <v>0.05944</v>
      </c>
      <c r="F104" s="257"/>
      <c r="H104" s="381"/>
    </row>
    <row r="105">
      <c r="A105" s="248" t="s">
        <v>326</v>
      </c>
      <c r="B105" s="400" t="str">
        <f>IFERROR(__xludf.DUMMYFUNCTION("VLOOKUP(A105,IMPORTRANGE(""https://docs.google.com/spreadsheets/d/1oJmkDK37Qizzdaxn4KCwh1BMwdNWuHCx3AGH8BC9yu0/edit?gid=781951868#gid=781951868"",""キャラ!D:F""),3,false)"),"一色 都々丸")</f>
        <v>一色 都々丸</v>
      </c>
      <c r="C105" s="403" t="s">
        <v>272</v>
      </c>
      <c r="D105" s="397">
        <f t="shared" si="4"/>
        <v>6955</v>
      </c>
      <c r="E105" s="252">
        <f t="shared" si="8"/>
        <v>0.05944</v>
      </c>
      <c r="F105" s="257"/>
      <c r="H105" s="381"/>
    </row>
    <row r="106">
      <c r="A106" s="248" t="s">
        <v>327</v>
      </c>
      <c r="B106" s="396" t="str">
        <f>IFERROR(__xludf.DUMMYFUNCTION("VLOOKUP(A106,IMPORTRANGE(""https://docs.google.com/spreadsheets/d/1oJmkDK37Qizzdaxn4KCwh1BMwdNWuHCx3AGH8BC9yu0/edit?gid=781951868#gid=781951868"",""キャラ!D:F""),3,false)"),"オカルン")</f>
        <v>オカルン</v>
      </c>
      <c r="C106" s="403" t="s">
        <v>272</v>
      </c>
      <c r="D106" s="397">
        <f t="shared" si="4"/>
        <v>6955</v>
      </c>
      <c r="E106" s="252">
        <f t="shared" si="8"/>
        <v>0.05944</v>
      </c>
      <c r="F106" s="257"/>
      <c r="H106" s="381"/>
    </row>
    <row r="107">
      <c r="A107" s="248" t="s">
        <v>328</v>
      </c>
      <c r="B107" s="396" t="str">
        <f>IFERROR(__xludf.DUMMYFUNCTION("VLOOKUP(A107,IMPORTRANGE(""https://docs.google.com/spreadsheets/d/1oJmkDK37Qizzdaxn4KCwh1BMwdNWuHCx3AGH8BC9yu0/edit?gid=781951868#gid=781951868"",""キャラ!D:F""),3,false)"),"デンジ")</f>
        <v>デンジ</v>
      </c>
      <c r="C107" s="403" t="s">
        <v>272</v>
      </c>
      <c r="D107" s="397">
        <f t="shared" si="4"/>
        <v>6955</v>
      </c>
      <c r="E107" s="252">
        <f t="shared" si="8"/>
        <v>0.05944</v>
      </c>
      <c r="F107" s="257"/>
      <c r="H107" s="381"/>
    </row>
    <row r="108">
      <c r="A108" s="248" t="s">
        <v>329</v>
      </c>
      <c r="B108" s="396" t="str">
        <f>IFERROR(__xludf.DUMMYFUNCTION("VLOOKUP(A108,IMPORTRANGE(""https://docs.google.com/spreadsheets/d/1oJmkDK37Qizzdaxn4KCwh1BMwdNWuHCx3AGH8BC9yu0/edit?gid=781951868#gid=781951868"",""キャラ!D:F""),3,false)"),"日比野 カフカ")</f>
        <v>日比野 カフカ</v>
      </c>
      <c r="C108" s="403" t="s">
        <v>272</v>
      </c>
      <c r="D108" s="397">
        <f t="shared" si="4"/>
        <v>6955</v>
      </c>
      <c r="E108" s="252">
        <f t="shared" si="8"/>
        <v>0.05944</v>
      </c>
      <c r="F108" s="257"/>
      <c r="H108" s="381"/>
    </row>
    <row r="109">
      <c r="A109" s="248" t="s">
        <v>330</v>
      </c>
      <c r="B109" s="400" t="str">
        <f>IFERROR(__xludf.DUMMYFUNCTION("VLOOKUP(A109,IMPORTRANGE(""https://docs.google.com/spreadsheets/d/1oJmkDK37Qizzdaxn4KCwh1BMwdNWuHCx3AGH8BC9yu0/edit?gid=781951868#gid=781951868"",""キャラ!D:F""),3,false)"),"和倉 優希")</f>
        <v>和倉 優希</v>
      </c>
      <c r="C109" s="403" t="s">
        <v>272</v>
      </c>
      <c r="D109" s="397">
        <f t="shared" si="4"/>
        <v>6955</v>
      </c>
      <c r="E109" s="252">
        <f t="shared" si="8"/>
        <v>0.05944</v>
      </c>
      <c r="F109" s="257"/>
      <c r="H109" s="381"/>
    </row>
    <row r="110">
      <c r="A110" s="248" t="s">
        <v>331</v>
      </c>
      <c r="B110" s="400" t="str">
        <f>IFERROR(__xludf.DUMMYFUNCTION("VLOOKUP(A110,IMPORTRANGE(""https://docs.google.com/spreadsheets/d/1oJmkDK37Qizzdaxn4KCwh1BMwdNWuHCx3AGH8BC9yu0/edit?gid=781951868#gid=781951868"",""キャラ!D:F""),3,false)"),"網代 慎平")</f>
        <v>網代 慎平</v>
      </c>
      <c r="C110" s="405" t="s">
        <v>272</v>
      </c>
      <c r="D110" s="397">
        <f t="shared" si="4"/>
        <v>6955</v>
      </c>
      <c r="E110" s="252">
        <f t="shared" si="8"/>
        <v>0.05944</v>
      </c>
      <c r="F110" s="264"/>
      <c r="H110" s="381"/>
    </row>
    <row r="111">
      <c r="A111" s="1"/>
      <c r="B111" s="7"/>
      <c r="C111" s="209"/>
      <c r="D111" s="1"/>
      <c r="E111" s="270">
        <f t="shared" ref="E111:F111" si="9">sum(E70:E110)</f>
        <v>0.9999</v>
      </c>
      <c r="F111" s="271">
        <f t="shared" si="9"/>
        <v>1</v>
      </c>
      <c r="H111" s="381"/>
    </row>
    <row r="112">
      <c r="E112" s="270"/>
      <c r="F112" s="271"/>
    </row>
  </sheetData>
  <mergeCells count="6">
    <mergeCell ref="A32:A36"/>
    <mergeCell ref="G47:H58"/>
    <mergeCell ref="F70:F82"/>
    <mergeCell ref="F83:F91"/>
    <mergeCell ref="F92:F101"/>
    <mergeCell ref="F102:F110"/>
  </mergeCells>
  <conditionalFormatting sqref="B9:I9 B26">
    <cfRule type="expression" dxfId="0" priority="1">
      <formula>$B8="無"</formula>
    </cfRule>
  </conditionalFormatting>
  <conditionalFormatting sqref="B18:I18">
    <cfRule type="expression" dxfId="0" priority="2">
      <formula>$B17="無"</formula>
    </cfRule>
  </conditionalFormatting>
  <conditionalFormatting sqref="B20:I20">
    <cfRule type="expression" dxfId="0" priority="3">
      <formula>$B19="無"</formula>
    </cfRule>
  </conditionalFormatting>
  <conditionalFormatting sqref="B24:I24">
    <cfRule type="expression" dxfId="0" priority="4">
      <formula>$B23="無"</formula>
    </cfRule>
  </conditionalFormatting>
  <conditionalFormatting sqref="D24 B26:I26">
    <cfRule type="expression" dxfId="1" priority="5">
      <formula>$B23="無"</formula>
    </cfRule>
  </conditionalFormatting>
  <conditionalFormatting sqref="B28:I28">
    <cfRule type="expression" dxfId="0" priority="6">
      <formula>$B27="無"</formula>
    </cfRule>
  </conditionalFormatting>
  <conditionalFormatting sqref="B10:I16">
    <cfRule type="expression" dxfId="1" priority="7">
      <formula>$B8="無"</formula>
    </cfRule>
  </conditionalFormatting>
  <conditionalFormatting sqref="B14:I16">
    <cfRule type="expression" dxfId="0" priority="8">
      <formula>#REF!="無"</formula>
    </cfRule>
  </conditionalFormatting>
  <dataValidations>
    <dataValidation type="list" allowBlank="1" showErrorMessage="1" sqref="B8 B13:B14 B17 B19 B22:B23 B25 B27">
      <formula1>"有,無"</formula1>
    </dataValidation>
    <dataValidation type="list" allowBlank="1" showErrorMessage="1" sqref="H2">
      <formula1>"未承認,承認済"</formula1>
    </dataValidation>
    <dataValidation type="list" allowBlank="1" showErrorMessage="1" sqref="B16">
      <formula1>"行う,行わない"</formula1>
    </dataValidation>
    <dataValidation type="list" allowBlank="1" showErrorMessage="1" sqref="B21">
      <formula1>"可,否"</formula1>
    </dataValidation>
  </dataValidations>
  <hyperlinks>
    <hyperlink r:id="rId1" location="gid=1243607662&amp;range=B:B" ref="C5"/>
    <hyperlink r:id="rId2" location="gid=1243607662&amp;range=F:F" ref="F15"/>
    <hyperlink r:id="rId3" location="gid=920186449&amp;range=F:F" ref="E47"/>
    <hyperlink r:id="rId4" location="gid=158837977" ref="E49"/>
    <hyperlink r:id="rId5" location="gid=920186449&amp;range=H:H" ref="E58"/>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2.5"/>
    <col customWidth="1" min="4" max="4" width="19.38"/>
  </cols>
  <sheetData>
    <row r="1" ht="17.25" customHeight="1">
      <c r="A1" s="151"/>
      <c r="B1" s="152"/>
      <c r="C1" s="152"/>
      <c r="D1" s="152"/>
      <c r="E1" s="152"/>
      <c r="G1" s="153" t="s">
        <v>37</v>
      </c>
      <c r="H1" s="153" t="s">
        <v>38</v>
      </c>
      <c r="I1" s="154" t="s">
        <v>39</v>
      </c>
    </row>
    <row r="2" ht="26.25" customHeight="1">
      <c r="A2" s="151"/>
      <c r="B2" s="157"/>
      <c r="C2" s="157"/>
      <c r="D2" s="157"/>
      <c r="E2" s="157"/>
      <c r="G2" s="158" t="s">
        <v>41</v>
      </c>
      <c r="H2" s="159"/>
      <c r="I2" s="14" t="s">
        <v>42</v>
      </c>
    </row>
    <row r="3">
      <c r="A3" s="15" t="s">
        <v>486</v>
      </c>
      <c r="B3" s="5"/>
      <c r="C3" s="5"/>
      <c r="D3" s="5"/>
      <c r="E3" s="5"/>
      <c r="F3" s="5"/>
      <c r="G3" s="5"/>
      <c r="H3" s="5"/>
      <c r="I3" s="5"/>
    </row>
    <row r="4">
      <c r="A4" s="1"/>
      <c r="B4" s="1"/>
      <c r="C4" s="1"/>
      <c r="D4" s="1"/>
      <c r="E4" s="1"/>
      <c r="F4" s="1"/>
      <c r="G4" s="1"/>
      <c r="H4" s="1"/>
      <c r="I4" s="1"/>
    </row>
    <row r="5">
      <c r="A5" s="46" t="s">
        <v>72</v>
      </c>
      <c r="B5" s="73" t="s">
        <v>487</v>
      </c>
      <c r="C5" s="1"/>
      <c r="D5" s="1"/>
      <c r="E5" s="1"/>
      <c r="F5" s="1"/>
      <c r="G5" s="1"/>
      <c r="H5" s="1"/>
      <c r="I5" s="1"/>
    </row>
    <row r="6">
      <c r="A6" s="74" t="s">
        <v>74</v>
      </c>
      <c r="B6" s="73">
        <v>98.0</v>
      </c>
      <c r="C6" s="1"/>
      <c r="D6" s="1"/>
      <c r="E6" s="1"/>
      <c r="F6" s="1"/>
      <c r="G6" s="1"/>
      <c r="H6" s="1"/>
      <c r="I6" s="1"/>
    </row>
    <row r="7">
      <c r="A7" s="74" t="s">
        <v>75</v>
      </c>
      <c r="B7" s="75" t="s">
        <v>488</v>
      </c>
      <c r="C7" s="1"/>
      <c r="D7" s="1"/>
      <c r="E7" s="1"/>
      <c r="F7" s="1"/>
      <c r="G7" s="1"/>
      <c r="H7" s="1"/>
      <c r="I7" s="1"/>
    </row>
    <row r="8">
      <c r="A8" s="74" t="s">
        <v>77</v>
      </c>
      <c r="B8" s="75" t="s">
        <v>489</v>
      </c>
      <c r="C8" s="1"/>
      <c r="D8" s="1"/>
      <c r="E8" s="1"/>
      <c r="F8" s="1"/>
      <c r="G8" s="1"/>
      <c r="H8" s="1"/>
      <c r="I8" s="1"/>
    </row>
    <row r="9">
      <c r="A9" s="46" t="s">
        <v>79</v>
      </c>
      <c r="B9" s="76">
        <f>H21</f>
        <v>4040</v>
      </c>
      <c r="C9" s="1"/>
      <c r="D9" s="1"/>
      <c r="E9" s="1"/>
      <c r="F9" s="1"/>
      <c r="G9" s="1"/>
      <c r="H9" s="1"/>
      <c r="I9" s="1"/>
    </row>
    <row r="10">
      <c r="A10" s="46" t="s">
        <v>80</v>
      </c>
      <c r="B10" s="76">
        <f>B9/1.1</f>
        <v>3672.727273</v>
      </c>
      <c r="C10" s="1"/>
      <c r="D10" s="1"/>
      <c r="E10" s="1"/>
      <c r="F10" s="1"/>
      <c r="G10" s="1"/>
      <c r="H10" s="1"/>
      <c r="I10" s="1"/>
    </row>
    <row r="11">
      <c r="A11" s="46" t="s">
        <v>81</v>
      </c>
      <c r="B11" s="77">
        <v>3000.0</v>
      </c>
      <c r="C11" s="46" t="s">
        <v>82</v>
      </c>
      <c r="D11" s="78">
        <f>1-(B11/B9)</f>
        <v>0.2574257426</v>
      </c>
      <c r="E11" s="1"/>
      <c r="F11" s="1"/>
      <c r="G11" s="1"/>
      <c r="H11" s="1"/>
      <c r="I11" s="1"/>
    </row>
    <row r="12">
      <c r="A12" s="46" t="s">
        <v>83</v>
      </c>
      <c r="B12" s="76">
        <f>B11/1.1</f>
        <v>2727.272727</v>
      </c>
      <c r="C12" s="48"/>
      <c r="D12" s="1"/>
      <c r="E12" s="1"/>
      <c r="F12" s="1"/>
      <c r="G12" s="1"/>
      <c r="H12" s="1"/>
      <c r="I12" s="1"/>
    </row>
    <row r="13">
      <c r="A13" s="46" t="s">
        <v>48</v>
      </c>
      <c r="B13" s="97">
        <v>1.0</v>
      </c>
      <c r="C13" s="98" t="s">
        <v>490</v>
      </c>
      <c r="D13" s="1"/>
      <c r="E13" s="1"/>
      <c r="F13" s="1"/>
      <c r="G13" s="1"/>
      <c r="H13" s="1"/>
      <c r="I13" s="1"/>
    </row>
    <row r="14">
      <c r="A14" s="46" t="s">
        <v>50</v>
      </c>
      <c r="B14" s="49">
        <v>46097.5</v>
      </c>
      <c r="C14" s="133" t="s">
        <v>51</v>
      </c>
      <c r="D14" s="51">
        <v>46111.45832175926</v>
      </c>
      <c r="E14" s="1"/>
      <c r="F14" s="1"/>
      <c r="G14" s="1"/>
      <c r="H14" s="1"/>
      <c r="I14" s="1"/>
    </row>
    <row r="15">
      <c r="A15" s="1"/>
      <c r="B15" s="406"/>
      <c r="C15" s="1"/>
      <c r="D15" s="1"/>
      <c r="E15" s="1"/>
      <c r="F15" s="1"/>
      <c r="G15" s="1"/>
      <c r="H15" s="1"/>
      <c r="I15" s="1"/>
    </row>
    <row r="16">
      <c r="A16" s="46" t="s">
        <v>84</v>
      </c>
      <c r="B16" s="46" t="s">
        <v>85</v>
      </c>
      <c r="C16" s="46" t="s">
        <v>86</v>
      </c>
      <c r="D16" s="46" t="s">
        <v>57</v>
      </c>
      <c r="E16" s="46" t="s">
        <v>59</v>
      </c>
      <c r="F16" s="46" t="s">
        <v>87</v>
      </c>
      <c r="G16" s="81" t="s">
        <v>88</v>
      </c>
      <c r="H16" s="46" t="s">
        <v>89</v>
      </c>
      <c r="I16" s="46" t="s">
        <v>90</v>
      </c>
    </row>
    <row r="17">
      <c r="A17" s="122" t="s">
        <v>133</v>
      </c>
      <c r="B17" s="83" t="s">
        <v>92</v>
      </c>
      <c r="C17" s="84" t="str">
        <f t="shared" ref="C17:C20" si="1">if(B17="","","(無期限)")</f>
        <v>(無期限)</v>
      </c>
      <c r="D17" s="84">
        <v>50.0</v>
      </c>
      <c r="E17" s="85">
        <v>50.0</v>
      </c>
      <c r="F17" s="83">
        <v>0.0</v>
      </c>
      <c r="G17" s="86">
        <v>10.0</v>
      </c>
      <c r="H17" s="87">
        <f t="shared" ref="H17:H20" si="2">G17*E17</f>
        <v>500</v>
      </c>
      <c r="I17" s="88">
        <f t="shared" ref="I17:I20" si="3">F17*G17</f>
        <v>0</v>
      </c>
    </row>
    <row r="18">
      <c r="A18" s="122" t="s">
        <v>134</v>
      </c>
      <c r="B18" s="83" t="s">
        <v>92</v>
      </c>
      <c r="C18" s="84" t="str">
        <f t="shared" si="1"/>
        <v>(無期限)</v>
      </c>
      <c r="D18" s="84">
        <v>30.0</v>
      </c>
      <c r="E18" s="85">
        <v>30.0</v>
      </c>
      <c r="F18" s="83">
        <v>0.0</v>
      </c>
      <c r="G18" s="86">
        <v>15.0</v>
      </c>
      <c r="H18" s="87">
        <f t="shared" si="2"/>
        <v>450</v>
      </c>
      <c r="I18" s="88">
        <f t="shared" si="3"/>
        <v>0</v>
      </c>
    </row>
    <row r="19">
      <c r="A19" s="122" t="s">
        <v>135</v>
      </c>
      <c r="B19" s="83" t="s">
        <v>92</v>
      </c>
      <c r="C19" s="84" t="str">
        <f t="shared" si="1"/>
        <v>(無期限)</v>
      </c>
      <c r="D19" s="84">
        <v>3.0</v>
      </c>
      <c r="E19" s="85">
        <v>3.0</v>
      </c>
      <c r="F19" s="83">
        <v>0.0</v>
      </c>
      <c r="G19" s="86">
        <v>30.0</v>
      </c>
      <c r="H19" s="87">
        <f t="shared" si="2"/>
        <v>90</v>
      </c>
      <c r="I19" s="88">
        <f t="shared" si="3"/>
        <v>0</v>
      </c>
    </row>
    <row r="20">
      <c r="A20" s="122" t="s">
        <v>146</v>
      </c>
      <c r="B20" s="83" t="s">
        <v>92</v>
      </c>
      <c r="C20" s="84" t="str">
        <f t="shared" si="1"/>
        <v>(無期限)</v>
      </c>
      <c r="D20" s="84">
        <v>10.0</v>
      </c>
      <c r="E20" s="85">
        <v>10.0</v>
      </c>
      <c r="F20" s="83">
        <v>0.0</v>
      </c>
      <c r="G20" s="101">
        <v>300.0</v>
      </c>
      <c r="H20" s="87">
        <f t="shared" si="2"/>
        <v>3000</v>
      </c>
      <c r="I20" s="88">
        <f t="shared" si="3"/>
        <v>0</v>
      </c>
    </row>
    <row r="21">
      <c r="A21" s="1"/>
      <c r="B21" s="1"/>
      <c r="C21" s="1"/>
      <c r="D21" s="1"/>
      <c r="E21" s="1"/>
      <c r="F21" s="89" t="s">
        <v>93</v>
      </c>
      <c r="G21" s="28"/>
      <c r="H21" s="59">
        <f t="shared" ref="H21:I21" si="4">SUM(H17:H20)</f>
        <v>4040</v>
      </c>
      <c r="I21" s="88">
        <f t="shared" si="4"/>
        <v>0</v>
      </c>
    </row>
    <row r="22">
      <c r="A22" s="1"/>
      <c r="B22" s="1"/>
      <c r="C22" s="1"/>
      <c r="D22" s="1"/>
      <c r="E22" s="1"/>
      <c r="F22" s="89" t="s">
        <v>94</v>
      </c>
      <c r="G22" s="28"/>
      <c r="H22" s="90">
        <f>B11</f>
        <v>3000</v>
      </c>
      <c r="I22" s="91" t="s">
        <v>95</v>
      </c>
    </row>
    <row r="23">
      <c r="A23" s="1"/>
      <c r="B23" s="1"/>
      <c r="C23" s="1"/>
      <c r="D23" s="1"/>
      <c r="E23" s="1"/>
      <c r="F23" s="89" t="s">
        <v>96</v>
      </c>
      <c r="G23" s="28"/>
      <c r="H23" s="92">
        <f>iferror(1-(H22/H21),"")</f>
        <v>0.2574257426</v>
      </c>
      <c r="I23" s="93">
        <f>I21/H22</f>
        <v>0</v>
      </c>
    </row>
    <row r="24">
      <c r="A24" s="1"/>
      <c r="B24" s="1"/>
      <c r="C24" s="1"/>
      <c r="D24" s="1"/>
      <c r="E24" s="1"/>
      <c r="F24" s="303"/>
      <c r="G24" s="303"/>
      <c r="H24" s="407"/>
      <c r="I24" s="407"/>
    </row>
    <row r="25">
      <c r="A25" s="1"/>
      <c r="B25" s="1"/>
      <c r="C25" s="1"/>
      <c r="D25" s="1"/>
      <c r="E25" s="1"/>
      <c r="F25" s="303"/>
      <c r="G25" s="303"/>
      <c r="H25" s="407"/>
      <c r="I25" s="407"/>
    </row>
    <row r="26">
      <c r="A26" s="15" t="s">
        <v>486</v>
      </c>
      <c r="B26" s="5"/>
      <c r="C26" s="5"/>
      <c r="D26" s="5"/>
      <c r="E26" s="5"/>
      <c r="F26" s="5"/>
      <c r="G26" s="5"/>
      <c r="H26" s="5"/>
      <c r="I26" s="5"/>
    </row>
    <row r="27">
      <c r="A27" s="1"/>
      <c r="B27" s="1"/>
      <c r="C27" s="1"/>
      <c r="D27" s="1"/>
      <c r="E27" s="1"/>
      <c r="F27" s="1"/>
      <c r="G27" s="1"/>
      <c r="H27" s="1"/>
      <c r="I27" s="1"/>
    </row>
    <row r="28">
      <c r="A28" s="46" t="s">
        <v>72</v>
      </c>
      <c r="B28" s="73" t="s">
        <v>491</v>
      </c>
      <c r="C28" s="1"/>
      <c r="D28" s="1"/>
      <c r="E28" s="1"/>
      <c r="F28" s="1"/>
      <c r="G28" s="1"/>
      <c r="H28" s="1"/>
      <c r="I28" s="1"/>
    </row>
    <row r="29">
      <c r="A29" s="74" t="s">
        <v>74</v>
      </c>
      <c r="B29" s="73">
        <v>117.0</v>
      </c>
      <c r="C29" s="1"/>
      <c r="D29" s="1"/>
      <c r="E29" s="1"/>
      <c r="F29" s="1"/>
      <c r="G29" s="1"/>
      <c r="H29" s="1"/>
      <c r="I29" s="1"/>
    </row>
    <row r="30">
      <c r="A30" s="74" t="s">
        <v>75</v>
      </c>
      <c r="B30" s="75" t="s">
        <v>492</v>
      </c>
      <c r="C30" s="1"/>
      <c r="D30" s="1"/>
      <c r="E30" s="1"/>
      <c r="F30" s="1"/>
      <c r="G30" s="1"/>
      <c r="H30" s="1"/>
      <c r="I30" s="1"/>
    </row>
    <row r="31">
      <c r="A31" s="74" t="s">
        <v>77</v>
      </c>
      <c r="B31" s="75" t="s">
        <v>493</v>
      </c>
      <c r="C31" s="1"/>
      <c r="D31" s="1"/>
      <c r="E31" s="1"/>
      <c r="F31" s="1"/>
      <c r="G31" s="1"/>
      <c r="H31" s="1"/>
      <c r="I31" s="1"/>
    </row>
    <row r="32">
      <c r="A32" s="46" t="s">
        <v>79</v>
      </c>
      <c r="B32" s="76">
        <f>H44</f>
        <v>4040</v>
      </c>
      <c r="C32" s="1"/>
      <c r="D32" s="1"/>
      <c r="E32" s="1"/>
      <c r="F32" s="1"/>
      <c r="G32" s="1"/>
      <c r="H32" s="1"/>
      <c r="I32" s="1"/>
    </row>
    <row r="33">
      <c r="A33" s="46" t="s">
        <v>80</v>
      </c>
      <c r="B33" s="76">
        <f>B32/1.1</f>
        <v>3672.727273</v>
      </c>
      <c r="C33" s="1"/>
      <c r="D33" s="1"/>
      <c r="E33" s="1"/>
      <c r="F33" s="1"/>
      <c r="G33" s="1"/>
      <c r="H33" s="1"/>
      <c r="I33" s="1"/>
    </row>
    <row r="34">
      <c r="A34" s="46" t="s">
        <v>81</v>
      </c>
      <c r="B34" s="77">
        <v>3000.0</v>
      </c>
      <c r="C34" s="46" t="s">
        <v>82</v>
      </c>
      <c r="D34" s="78">
        <f>1-(B34/B32)</f>
        <v>0.2574257426</v>
      </c>
      <c r="E34" s="1"/>
      <c r="F34" s="1"/>
      <c r="G34" s="1"/>
      <c r="H34" s="1"/>
      <c r="I34" s="1"/>
    </row>
    <row r="35">
      <c r="A35" s="46" t="s">
        <v>83</v>
      </c>
      <c r="B35" s="76">
        <f>B34/1.1</f>
        <v>2727.272727</v>
      </c>
      <c r="C35" s="48"/>
      <c r="D35" s="1"/>
      <c r="E35" s="1"/>
      <c r="F35" s="1"/>
      <c r="G35" s="1"/>
      <c r="H35" s="1"/>
      <c r="I35" s="1"/>
    </row>
    <row r="36">
      <c r="A36" s="46" t="s">
        <v>48</v>
      </c>
      <c r="B36" s="97">
        <v>1.0</v>
      </c>
      <c r="C36" s="98" t="s">
        <v>490</v>
      </c>
      <c r="D36" s="1"/>
      <c r="E36" s="1"/>
      <c r="F36" s="1"/>
      <c r="G36" s="1"/>
      <c r="H36" s="1"/>
      <c r="I36" s="1"/>
    </row>
    <row r="37">
      <c r="A37" s="46" t="s">
        <v>50</v>
      </c>
      <c r="B37" s="51">
        <v>46111.625</v>
      </c>
      <c r="C37" s="50" t="s">
        <v>51</v>
      </c>
      <c r="D37" s="51">
        <v>46125.45832175926</v>
      </c>
      <c r="E37" s="1"/>
      <c r="F37" s="1"/>
      <c r="G37" s="1"/>
      <c r="H37" s="1"/>
      <c r="I37" s="1"/>
    </row>
    <row r="38">
      <c r="A38" s="1"/>
      <c r="B38" s="406"/>
      <c r="C38" s="1"/>
      <c r="D38" s="1"/>
      <c r="E38" s="1"/>
      <c r="F38" s="1"/>
      <c r="G38" s="1"/>
      <c r="H38" s="1"/>
      <c r="I38" s="1"/>
    </row>
    <row r="39">
      <c r="A39" s="46" t="s">
        <v>84</v>
      </c>
      <c r="B39" s="46" t="s">
        <v>85</v>
      </c>
      <c r="C39" s="46" t="s">
        <v>86</v>
      </c>
      <c r="D39" s="46" t="s">
        <v>57</v>
      </c>
      <c r="E39" s="46" t="s">
        <v>59</v>
      </c>
      <c r="F39" s="46" t="s">
        <v>87</v>
      </c>
      <c r="G39" s="81" t="s">
        <v>88</v>
      </c>
      <c r="H39" s="46" t="s">
        <v>89</v>
      </c>
      <c r="I39" s="46" t="s">
        <v>90</v>
      </c>
    </row>
    <row r="40">
      <c r="A40" s="122" t="s">
        <v>133</v>
      </c>
      <c r="B40" s="83" t="s">
        <v>92</v>
      </c>
      <c r="C40" s="84" t="str">
        <f t="shared" ref="C40:C43" si="5">if(B40="","","(無期限)")</f>
        <v>(無期限)</v>
      </c>
      <c r="D40" s="84">
        <v>50.0</v>
      </c>
      <c r="E40" s="85">
        <v>50.0</v>
      </c>
      <c r="F40" s="83">
        <v>0.0</v>
      </c>
      <c r="G40" s="86">
        <v>10.0</v>
      </c>
      <c r="H40" s="87">
        <f t="shared" ref="H40:H43" si="6">G40*E40</f>
        <v>500</v>
      </c>
      <c r="I40" s="88">
        <f t="shared" ref="I40:I43" si="7">F40*G40</f>
        <v>0</v>
      </c>
    </row>
    <row r="41">
      <c r="A41" s="122" t="s">
        <v>134</v>
      </c>
      <c r="B41" s="83" t="s">
        <v>92</v>
      </c>
      <c r="C41" s="84" t="str">
        <f t="shared" si="5"/>
        <v>(無期限)</v>
      </c>
      <c r="D41" s="84">
        <v>30.0</v>
      </c>
      <c r="E41" s="85">
        <v>30.0</v>
      </c>
      <c r="F41" s="83">
        <v>0.0</v>
      </c>
      <c r="G41" s="86">
        <v>15.0</v>
      </c>
      <c r="H41" s="87">
        <f t="shared" si="6"/>
        <v>450</v>
      </c>
      <c r="I41" s="88">
        <f t="shared" si="7"/>
        <v>0</v>
      </c>
    </row>
    <row r="42">
      <c r="A42" s="122" t="s">
        <v>135</v>
      </c>
      <c r="B42" s="83" t="s">
        <v>92</v>
      </c>
      <c r="C42" s="84" t="str">
        <f t="shared" si="5"/>
        <v>(無期限)</v>
      </c>
      <c r="D42" s="84">
        <v>3.0</v>
      </c>
      <c r="E42" s="85">
        <v>3.0</v>
      </c>
      <c r="F42" s="83">
        <v>0.0</v>
      </c>
      <c r="G42" s="86">
        <v>30.0</v>
      </c>
      <c r="H42" s="87">
        <f t="shared" si="6"/>
        <v>90</v>
      </c>
      <c r="I42" s="88">
        <f t="shared" si="7"/>
        <v>0</v>
      </c>
    </row>
    <row r="43">
      <c r="A43" s="122" t="s">
        <v>146</v>
      </c>
      <c r="B43" s="83" t="s">
        <v>92</v>
      </c>
      <c r="C43" s="84" t="str">
        <f t="shared" si="5"/>
        <v>(無期限)</v>
      </c>
      <c r="D43" s="84">
        <v>10.0</v>
      </c>
      <c r="E43" s="85">
        <v>10.0</v>
      </c>
      <c r="F43" s="83">
        <v>0.0</v>
      </c>
      <c r="G43" s="101">
        <v>300.0</v>
      </c>
      <c r="H43" s="87">
        <f t="shared" si="6"/>
        <v>3000</v>
      </c>
      <c r="I43" s="88">
        <f t="shared" si="7"/>
        <v>0</v>
      </c>
    </row>
    <row r="44">
      <c r="A44" s="1"/>
      <c r="B44" s="1"/>
      <c r="C44" s="1"/>
      <c r="D44" s="1"/>
      <c r="E44" s="1"/>
      <c r="F44" s="89" t="s">
        <v>93</v>
      </c>
      <c r="G44" s="28"/>
      <c r="H44" s="59">
        <f t="shared" ref="H44:I44" si="8">SUM(H40:H43)</f>
        <v>4040</v>
      </c>
      <c r="I44" s="88">
        <f t="shared" si="8"/>
        <v>0</v>
      </c>
    </row>
    <row r="45">
      <c r="A45" s="1"/>
      <c r="B45" s="1"/>
      <c r="C45" s="1"/>
      <c r="D45" s="1"/>
      <c r="E45" s="1"/>
      <c r="F45" s="89" t="s">
        <v>94</v>
      </c>
      <c r="G45" s="28"/>
      <c r="H45" s="90">
        <f>B34</f>
        <v>3000</v>
      </c>
      <c r="I45" s="91" t="s">
        <v>95</v>
      </c>
    </row>
    <row r="46">
      <c r="A46" s="1"/>
      <c r="B46" s="1"/>
      <c r="C46" s="1"/>
      <c r="D46" s="1"/>
      <c r="E46" s="1"/>
      <c r="F46" s="89" t="s">
        <v>96</v>
      </c>
      <c r="G46" s="28"/>
      <c r="H46" s="92">
        <f>iferror(1-(H45/H44),"")</f>
        <v>0.2574257426</v>
      </c>
      <c r="I46" s="93">
        <f>I44/H45</f>
        <v>0</v>
      </c>
    </row>
    <row r="47">
      <c r="A47" s="1"/>
      <c r="B47" s="1"/>
      <c r="C47" s="1"/>
      <c r="D47" s="1"/>
      <c r="E47" s="1"/>
      <c r="F47" s="303"/>
      <c r="G47" s="303"/>
      <c r="H47" s="407"/>
      <c r="I47" s="407"/>
    </row>
    <row r="48">
      <c r="A48" s="1"/>
      <c r="B48" s="1"/>
      <c r="C48" s="1"/>
      <c r="D48" s="1"/>
      <c r="E48" s="1"/>
      <c r="F48" s="303"/>
      <c r="G48" s="303"/>
      <c r="H48" s="407"/>
      <c r="I48" s="407"/>
    </row>
    <row r="49">
      <c r="A49" s="15" t="s">
        <v>494</v>
      </c>
      <c r="B49" s="5"/>
      <c r="C49" s="5"/>
      <c r="D49" s="5"/>
      <c r="E49" s="5"/>
      <c r="F49" s="5"/>
      <c r="G49" s="5"/>
      <c r="H49" s="5"/>
      <c r="I49" s="5"/>
    </row>
    <row r="50">
      <c r="A50" s="104" t="s">
        <v>106</v>
      </c>
      <c r="B50" s="7" t="s">
        <v>495</v>
      </c>
      <c r="C50" s="1"/>
      <c r="D50" s="1"/>
      <c r="E50" s="1"/>
      <c r="F50" s="1"/>
      <c r="G50" s="1"/>
      <c r="H50" s="1"/>
      <c r="I50" s="1"/>
    </row>
    <row r="51">
      <c r="A51" s="46" t="s">
        <v>72</v>
      </c>
      <c r="B51" s="73" t="s">
        <v>496</v>
      </c>
      <c r="C51" s="1"/>
      <c r="D51" s="1"/>
      <c r="E51" s="1"/>
      <c r="F51" s="1"/>
      <c r="G51" s="1"/>
      <c r="H51" s="1"/>
      <c r="I51" s="1"/>
    </row>
    <row r="52">
      <c r="A52" s="74" t="s">
        <v>74</v>
      </c>
      <c r="B52" s="73">
        <v>109.0</v>
      </c>
      <c r="C52" s="1"/>
      <c r="D52" s="1"/>
      <c r="E52" s="1"/>
      <c r="F52" s="1"/>
      <c r="G52" s="1"/>
      <c r="H52" s="1"/>
      <c r="I52" s="1"/>
    </row>
    <row r="53">
      <c r="A53" s="74" t="s">
        <v>75</v>
      </c>
      <c r="B53" s="75" t="s">
        <v>497</v>
      </c>
      <c r="C53" s="1"/>
      <c r="D53" s="1"/>
      <c r="E53" s="1"/>
      <c r="F53" s="1"/>
      <c r="G53" s="1"/>
      <c r="H53" s="1"/>
      <c r="I53" s="1"/>
    </row>
    <row r="54">
      <c r="A54" s="74" t="s">
        <v>77</v>
      </c>
      <c r="B54" s="75" t="s">
        <v>498</v>
      </c>
      <c r="C54" s="1"/>
      <c r="D54" s="1"/>
      <c r="E54" s="1"/>
      <c r="F54" s="1"/>
      <c r="G54" s="1"/>
      <c r="H54" s="1"/>
      <c r="I54" s="1"/>
    </row>
    <row r="55">
      <c r="A55" s="46" t="s">
        <v>79</v>
      </c>
      <c r="B55" s="76">
        <f>H65</f>
        <v>678</v>
      </c>
      <c r="C55" s="1"/>
      <c r="D55" s="1"/>
      <c r="E55" s="1"/>
      <c r="F55" s="1"/>
      <c r="G55" s="1"/>
      <c r="H55" s="1"/>
      <c r="I55" s="1"/>
    </row>
    <row r="56">
      <c r="A56" s="46" t="s">
        <v>80</v>
      </c>
      <c r="B56" s="76">
        <f>B55/1.1</f>
        <v>616.3636364</v>
      </c>
      <c r="C56" s="1"/>
      <c r="D56" s="1"/>
      <c r="E56" s="1"/>
      <c r="F56" s="1"/>
      <c r="G56" s="1"/>
      <c r="H56" s="1"/>
      <c r="I56" s="1"/>
    </row>
    <row r="57">
      <c r="A57" s="46" t="s">
        <v>81</v>
      </c>
      <c r="B57" s="106">
        <v>150.0</v>
      </c>
      <c r="C57" s="46" t="s">
        <v>82</v>
      </c>
      <c r="D57" s="78">
        <f>1-(B57/B55)</f>
        <v>0.7787610619</v>
      </c>
      <c r="E57" s="1"/>
      <c r="F57" s="1"/>
      <c r="G57" s="1"/>
      <c r="H57" s="1"/>
      <c r="I57" s="1"/>
    </row>
    <row r="58">
      <c r="A58" s="46" t="s">
        <v>83</v>
      </c>
      <c r="B58" s="76">
        <f>B57/1.1</f>
        <v>136.3636364</v>
      </c>
      <c r="C58" s="48"/>
      <c r="D58" s="1"/>
      <c r="E58" s="1"/>
      <c r="F58" s="1"/>
      <c r="G58" s="1"/>
      <c r="H58" s="1"/>
      <c r="I58" s="1"/>
    </row>
    <row r="59">
      <c r="A59" s="46" t="s">
        <v>48</v>
      </c>
      <c r="B59" s="47">
        <v>5.0</v>
      </c>
      <c r="C59" s="408" t="s">
        <v>499</v>
      </c>
      <c r="D59" s="1"/>
      <c r="E59" s="1"/>
      <c r="F59" s="1"/>
      <c r="G59" s="1"/>
      <c r="H59" s="1"/>
      <c r="I59" s="1"/>
    </row>
    <row r="60">
      <c r="A60" s="46" t="s">
        <v>50</v>
      </c>
      <c r="B60" s="49">
        <v>46097.5</v>
      </c>
      <c r="C60" s="133" t="s">
        <v>51</v>
      </c>
      <c r="D60" s="49">
        <v>46111.62498842592</v>
      </c>
      <c r="E60" s="1"/>
      <c r="F60" s="1"/>
      <c r="G60" s="1"/>
      <c r="H60" s="1"/>
      <c r="I60" s="1"/>
    </row>
    <row r="61">
      <c r="A61" s="1"/>
      <c r="B61" s="406"/>
      <c r="C61" s="1"/>
      <c r="D61" s="1"/>
      <c r="E61" s="1"/>
      <c r="F61" s="1"/>
      <c r="G61" s="1"/>
      <c r="H61" s="1"/>
      <c r="I61" s="1"/>
    </row>
    <row r="62">
      <c r="A62" s="46" t="s">
        <v>84</v>
      </c>
      <c r="B62" s="46" t="s">
        <v>85</v>
      </c>
      <c r="C62" s="46" t="s">
        <v>86</v>
      </c>
      <c r="D62" s="46" t="s">
        <v>57</v>
      </c>
      <c r="E62" s="46" t="s">
        <v>59</v>
      </c>
      <c r="F62" s="46" t="s">
        <v>87</v>
      </c>
      <c r="G62" s="81" t="s">
        <v>88</v>
      </c>
      <c r="H62" s="46" t="s">
        <v>89</v>
      </c>
      <c r="I62" s="46" t="s">
        <v>90</v>
      </c>
    </row>
    <row r="63">
      <c r="A63" s="294" t="s">
        <v>91</v>
      </c>
      <c r="B63" s="83" t="s">
        <v>92</v>
      </c>
      <c r="C63" s="84" t="str">
        <f t="shared" ref="C63:C64" si="9">if(B63="","","(無期限)")</f>
        <v>(無期限)</v>
      </c>
      <c r="D63" s="134">
        <v>5.0</v>
      </c>
      <c r="E63" s="296">
        <v>5.0</v>
      </c>
      <c r="F63" s="83">
        <v>0.0</v>
      </c>
      <c r="G63" s="86">
        <v>75.6</v>
      </c>
      <c r="H63" s="87">
        <f t="shared" ref="H63:H64" si="10">G63*E63</f>
        <v>378</v>
      </c>
      <c r="I63" s="88">
        <f t="shared" ref="I63:I64" si="11">F63*G63</f>
        <v>0</v>
      </c>
    </row>
    <row r="64">
      <c r="A64" s="122" t="s">
        <v>146</v>
      </c>
      <c r="B64" s="83" t="s">
        <v>92</v>
      </c>
      <c r="C64" s="84" t="str">
        <f t="shared" si="9"/>
        <v>(無期限)</v>
      </c>
      <c r="D64" s="134">
        <v>1.0</v>
      </c>
      <c r="E64" s="296">
        <v>1.0</v>
      </c>
      <c r="F64" s="83">
        <v>0.0</v>
      </c>
      <c r="G64" s="101">
        <v>300.0</v>
      </c>
      <c r="H64" s="87">
        <f t="shared" si="10"/>
        <v>300</v>
      </c>
      <c r="I64" s="88">
        <f t="shared" si="11"/>
        <v>0</v>
      </c>
    </row>
    <row r="65">
      <c r="A65" s="1"/>
      <c r="B65" s="1"/>
      <c r="C65" s="1"/>
      <c r="D65" s="1"/>
      <c r="E65" s="1"/>
      <c r="F65" s="89" t="s">
        <v>93</v>
      </c>
      <c r="G65" s="28"/>
      <c r="H65" s="59">
        <f t="shared" ref="H65:I65" si="12">SUM(H63:H64)</f>
        <v>678</v>
      </c>
      <c r="I65" s="88">
        <f t="shared" si="12"/>
        <v>0</v>
      </c>
    </row>
    <row r="66">
      <c r="A66" s="1"/>
      <c r="B66" s="1"/>
      <c r="C66" s="1"/>
      <c r="D66" s="1"/>
      <c r="E66" s="1"/>
      <c r="F66" s="89" t="s">
        <v>94</v>
      </c>
      <c r="G66" s="28"/>
      <c r="H66" s="90">
        <f>B57</f>
        <v>150</v>
      </c>
      <c r="I66" s="91" t="s">
        <v>95</v>
      </c>
    </row>
    <row r="67">
      <c r="A67" s="1"/>
      <c r="B67" s="1"/>
      <c r="C67" s="1"/>
      <c r="D67" s="1"/>
      <c r="E67" s="1"/>
      <c r="F67" s="89" t="s">
        <v>96</v>
      </c>
      <c r="G67" s="28"/>
      <c r="H67" s="92">
        <f>iferror(1-(H66/H65),"")</f>
        <v>0.7787610619</v>
      </c>
      <c r="I67" s="93">
        <f>I65/H66</f>
        <v>0</v>
      </c>
    </row>
    <row r="68">
      <c r="A68" s="1"/>
      <c r="B68" s="1"/>
      <c r="C68" s="1"/>
      <c r="D68" s="1"/>
      <c r="E68" s="1"/>
      <c r="F68" s="303"/>
      <c r="G68" s="303"/>
      <c r="H68" s="407"/>
      <c r="I68" s="407"/>
    </row>
    <row r="69">
      <c r="A69" s="1"/>
      <c r="B69" s="1"/>
      <c r="C69" s="1"/>
      <c r="D69" s="1"/>
      <c r="E69" s="1"/>
      <c r="F69" s="303"/>
      <c r="G69" s="303"/>
      <c r="H69" s="407"/>
      <c r="I69" s="407"/>
    </row>
    <row r="70">
      <c r="A70" s="15" t="s">
        <v>494</v>
      </c>
      <c r="B70" s="5"/>
      <c r="C70" s="5"/>
      <c r="D70" s="5"/>
      <c r="E70" s="5"/>
      <c r="F70" s="5"/>
      <c r="G70" s="5"/>
      <c r="H70" s="5"/>
      <c r="I70" s="5"/>
    </row>
    <row r="71">
      <c r="A71" s="104" t="s">
        <v>106</v>
      </c>
      <c r="B71" s="1"/>
      <c r="C71" s="1"/>
      <c r="D71" s="1"/>
      <c r="E71" s="1"/>
      <c r="F71" s="1"/>
      <c r="G71" s="1"/>
      <c r="H71" s="1"/>
      <c r="I71" s="1"/>
    </row>
    <row r="72">
      <c r="A72" s="46" t="s">
        <v>72</v>
      </c>
      <c r="B72" s="73"/>
      <c r="C72" s="1"/>
      <c r="D72" s="1"/>
      <c r="E72" s="1"/>
      <c r="F72" s="1"/>
      <c r="G72" s="1"/>
      <c r="H72" s="1"/>
      <c r="I72" s="1"/>
    </row>
    <row r="73">
      <c r="A73" s="74" t="s">
        <v>74</v>
      </c>
      <c r="B73" s="73"/>
      <c r="C73" s="1"/>
      <c r="D73" s="1"/>
      <c r="E73" s="1"/>
      <c r="F73" s="1"/>
      <c r="G73" s="1"/>
      <c r="H73" s="1"/>
      <c r="I73" s="1"/>
    </row>
    <row r="74">
      <c r="A74" s="74" t="s">
        <v>75</v>
      </c>
      <c r="B74" s="75"/>
      <c r="C74" s="1"/>
      <c r="D74" s="1"/>
      <c r="E74" s="1"/>
      <c r="F74" s="1"/>
      <c r="G74" s="1"/>
      <c r="H74" s="1"/>
      <c r="I74" s="1"/>
    </row>
    <row r="75">
      <c r="A75" s="74" t="s">
        <v>77</v>
      </c>
      <c r="B75" s="75"/>
      <c r="C75" s="1"/>
      <c r="D75" s="1"/>
      <c r="E75" s="1"/>
      <c r="F75" s="1"/>
      <c r="G75" s="1"/>
      <c r="H75" s="1"/>
      <c r="I75" s="1"/>
    </row>
    <row r="76">
      <c r="A76" s="46" t="s">
        <v>79</v>
      </c>
      <c r="B76" s="76">
        <f>H86</f>
        <v>678</v>
      </c>
      <c r="C76" s="1"/>
      <c r="D76" s="1"/>
      <c r="E76" s="1"/>
      <c r="F76" s="1"/>
      <c r="G76" s="1"/>
      <c r="H76" s="1"/>
      <c r="I76" s="1"/>
    </row>
    <row r="77">
      <c r="A77" s="46" t="s">
        <v>80</v>
      </c>
      <c r="B77" s="76">
        <f>B76/1.1</f>
        <v>616.3636364</v>
      </c>
      <c r="C77" s="1"/>
      <c r="D77" s="1"/>
      <c r="E77" s="1"/>
      <c r="F77" s="1"/>
      <c r="G77" s="1"/>
      <c r="H77" s="1"/>
      <c r="I77" s="1"/>
    </row>
    <row r="78">
      <c r="A78" s="46" t="s">
        <v>81</v>
      </c>
      <c r="B78" s="106">
        <v>150.0</v>
      </c>
      <c r="C78" s="46" t="s">
        <v>82</v>
      </c>
      <c r="D78" s="78">
        <f>1-(B78/B76)</f>
        <v>0.7787610619</v>
      </c>
      <c r="E78" s="1"/>
      <c r="F78" s="1"/>
      <c r="G78" s="1"/>
      <c r="H78" s="1"/>
      <c r="I78" s="1"/>
    </row>
    <row r="79">
      <c r="A79" s="46" t="s">
        <v>83</v>
      </c>
      <c r="B79" s="76">
        <f>B78/1.1</f>
        <v>136.3636364</v>
      </c>
      <c r="C79" s="48"/>
      <c r="D79" s="1"/>
      <c r="E79" s="1"/>
      <c r="F79" s="1"/>
      <c r="G79" s="1"/>
      <c r="H79" s="1"/>
      <c r="I79" s="1"/>
    </row>
    <row r="80">
      <c r="A80" s="46" t="s">
        <v>48</v>
      </c>
      <c r="B80" s="47">
        <v>5.0</v>
      </c>
      <c r="C80" s="98"/>
      <c r="D80" s="1"/>
      <c r="E80" s="1"/>
      <c r="F80" s="1"/>
      <c r="G80" s="1"/>
      <c r="H80" s="1"/>
      <c r="I80" s="1"/>
    </row>
    <row r="81">
      <c r="A81" s="46" t="s">
        <v>50</v>
      </c>
      <c r="B81" s="51">
        <v>46111.625</v>
      </c>
      <c r="C81" s="50" t="s">
        <v>51</v>
      </c>
      <c r="D81" s="51">
        <v>46125.45832175926</v>
      </c>
      <c r="E81" s="1"/>
      <c r="F81" s="1"/>
      <c r="G81" s="1"/>
      <c r="H81" s="1"/>
      <c r="I81" s="1"/>
    </row>
    <row r="82">
      <c r="A82" s="1"/>
      <c r="B82" s="406"/>
      <c r="C82" s="1"/>
      <c r="D82" s="1"/>
      <c r="E82" s="1"/>
      <c r="F82" s="1"/>
      <c r="G82" s="1"/>
      <c r="H82" s="1"/>
      <c r="I82" s="1"/>
    </row>
    <row r="83">
      <c r="A83" s="46" t="s">
        <v>84</v>
      </c>
      <c r="B83" s="46" t="s">
        <v>85</v>
      </c>
      <c r="C83" s="46" t="s">
        <v>86</v>
      </c>
      <c r="D83" s="46" t="s">
        <v>57</v>
      </c>
      <c r="E83" s="46" t="s">
        <v>59</v>
      </c>
      <c r="F83" s="46" t="s">
        <v>87</v>
      </c>
      <c r="G83" s="81" t="s">
        <v>88</v>
      </c>
      <c r="H83" s="46" t="s">
        <v>89</v>
      </c>
      <c r="I83" s="46" t="s">
        <v>90</v>
      </c>
    </row>
    <row r="84">
      <c r="A84" s="294" t="s">
        <v>91</v>
      </c>
      <c r="B84" s="83" t="s">
        <v>92</v>
      </c>
      <c r="C84" s="84" t="str">
        <f t="shared" ref="C84:C85" si="13">if(B84="","","(無期限)")</f>
        <v>(無期限)</v>
      </c>
      <c r="D84" s="134">
        <v>5.0</v>
      </c>
      <c r="E84" s="296">
        <v>5.0</v>
      </c>
      <c r="F84" s="83">
        <v>0.0</v>
      </c>
      <c r="G84" s="86">
        <v>75.6</v>
      </c>
      <c r="H84" s="87">
        <f t="shared" ref="H84:H85" si="14">G84*E84</f>
        <v>378</v>
      </c>
      <c r="I84" s="88">
        <f t="shared" ref="I84:I85" si="15">F84*G84</f>
        <v>0</v>
      </c>
    </row>
    <row r="85">
      <c r="A85" s="122" t="s">
        <v>146</v>
      </c>
      <c r="B85" s="83" t="s">
        <v>92</v>
      </c>
      <c r="C85" s="84" t="str">
        <f t="shared" si="13"/>
        <v>(無期限)</v>
      </c>
      <c r="D85" s="134">
        <v>1.0</v>
      </c>
      <c r="E85" s="296">
        <v>1.0</v>
      </c>
      <c r="F85" s="83">
        <v>0.0</v>
      </c>
      <c r="G85" s="101">
        <v>300.0</v>
      </c>
      <c r="H85" s="87">
        <f t="shared" si="14"/>
        <v>300</v>
      </c>
      <c r="I85" s="88">
        <f t="shared" si="15"/>
        <v>0</v>
      </c>
    </row>
    <row r="86">
      <c r="A86" s="1"/>
      <c r="B86" s="1"/>
      <c r="C86" s="1"/>
      <c r="D86" s="1"/>
      <c r="E86" s="1"/>
      <c r="F86" s="89" t="s">
        <v>93</v>
      </c>
      <c r="G86" s="28"/>
      <c r="H86" s="59">
        <f t="shared" ref="H86:I86" si="16">SUM(H84:H85)</f>
        <v>678</v>
      </c>
      <c r="I86" s="88">
        <f t="shared" si="16"/>
        <v>0</v>
      </c>
    </row>
    <row r="87">
      <c r="A87" s="1"/>
      <c r="B87" s="1"/>
      <c r="C87" s="1"/>
      <c r="D87" s="1"/>
      <c r="E87" s="1"/>
      <c r="F87" s="89" t="s">
        <v>94</v>
      </c>
      <c r="G87" s="28"/>
      <c r="H87" s="90">
        <f>B78</f>
        <v>150</v>
      </c>
      <c r="I87" s="91" t="s">
        <v>95</v>
      </c>
    </row>
    <row r="88">
      <c r="A88" s="1"/>
      <c r="B88" s="1"/>
      <c r="C88" s="1"/>
      <c r="D88" s="1"/>
      <c r="E88" s="1"/>
      <c r="F88" s="89" t="s">
        <v>96</v>
      </c>
      <c r="G88" s="28"/>
      <c r="H88" s="92">
        <f>iferror(1-(H87/H86),"")</f>
        <v>0.7787610619</v>
      </c>
      <c r="I88" s="93">
        <f>I86/H87</f>
        <v>0</v>
      </c>
    </row>
  </sheetData>
  <mergeCells count="12">
    <mergeCell ref="F66:G66"/>
    <mergeCell ref="F67:G67"/>
    <mergeCell ref="F86:G86"/>
    <mergeCell ref="F87:G87"/>
    <mergeCell ref="F88:G88"/>
    <mergeCell ref="F21:G21"/>
    <mergeCell ref="F22:G22"/>
    <mergeCell ref="F23:G23"/>
    <mergeCell ref="F44:G44"/>
    <mergeCell ref="F45:G45"/>
    <mergeCell ref="F46:G46"/>
    <mergeCell ref="F65:G65"/>
  </mergeCells>
  <dataValidations>
    <dataValidation type="list" allowBlank="1" showErrorMessage="1" sqref="I2">
      <formula1>"未承認,承認済,社内承認済"</formula1>
    </dataValidation>
    <dataValidation type="list" allowBlank="1" sqref="B17:B20 B40:B43 B63:B64 B84:B85">
      <formula1>"有償販売,有償+無償販売,無償販売"</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2.5"/>
    <col customWidth="1" min="4" max="4" width="19.38"/>
  </cols>
  <sheetData>
    <row r="1" ht="17.25" customHeight="1">
      <c r="A1" s="151"/>
      <c r="B1" s="152"/>
      <c r="C1" s="152"/>
      <c r="D1" s="152"/>
      <c r="E1" s="152"/>
      <c r="G1" s="153" t="s">
        <v>37</v>
      </c>
      <c r="H1" s="153" t="s">
        <v>38</v>
      </c>
      <c r="I1" s="154" t="s">
        <v>39</v>
      </c>
      <c r="J1" s="155"/>
    </row>
    <row r="2" ht="26.25" customHeight="1">
      <c r="A2" s="151"/>
      <c r="B2" s="157"/>
      <c r="C2" s="157"/>
      <c r="D2" s="157"/>
      <c r="E2" s="157"/>
      <c r="G2" s="158" t="s">
        <v>41</v>
      </c>
      <c r="H2" s="159"/>
      <c r="I2" s="14" t="s">
        <v>42</v>
      </c>
      <c r="J2" s="160"/>
    </row>
    <row r="3">
      <c r="A3" s="409" t="s">
        <v>28</v>
      </c>
      <c r="B3" s="410"/>
      <c r="C3" s="410"/>
      <c r="D3" s="410"/>
      <c r="E3" s="410"/>
      <c r="F3" s="410"/>
      <c r="G3" s="410"/>
      <c r="H3" s="410"/>
      <c r="I3" s="410"/>
      <c r="J3" s="410"/>
    </row>
    <row r="4">
      <c r="A4" s="45" t="s">
        <v>500</v>
      </c>
      <c r="B4" s="5"/>
      <c r="C4" s="5"/>
      <c r="D4" s="5"/>
      <c r="E4" s="5"/>
      <c r="F4" s="5"/>
      <c r="G4" s="5"/>
      <c r="H4" s="5"/>
      <c r="I4" s="5"/>
      <c r="J4" s="5"/>
    </row>
    <row r="5">
      <c r="A5" s="411" t="s">
        <v>501</v>
      </c>
      <c r="B5" s="1"/>
      <c r="C5" s="1"/>
      <c r="D5" s="1"/>
      <c r="E5" s="1"/>
      <c r="F5" s="1"/>
      <c r="G5" s="1"/>
      <c r="H5" s="1"/>
      <c r="I5" s="1"/>
      <c r="J5" s="1"/>
    </row>
    <row r="6">
      <c r="A6" s="46" t="s">
        <v>72</v>
      </c>
      <c r="B6" s="73" t="s">
        <v>502</v>
      </c>
      <c r="C6" s="1"/>
      <c r="D6" s="1"/>
      <c r="E6" s="1"/>
      <c r="F6" s="1"/>
      <c r="G6" s="1"/>
      <c r="H6" s="1"/>
      <c r="I6" s="1"/>
      <c r="J6" s="1"/>
    </row>
    <row r="7">
      <c r="A7" s="74" t="s">
        <v>74</v>
      </c>
      <c r="B7" s="73">
        <v>120.0</v>
      </c>
      <c r="C7" s="1"/>
      <c r="D7" s="1"/>
      <c r="E7" s="1"/>
      <c r="F7" s="1"/>
      <c r="G7" s="1"/>
      <c r="H7" s="1"/>
      <c r="I7" s="1"/>
      <c r="J7" s="1"/>
    </row>
    <row r="8">
      <c r="A8" s="46" t="s">
        <v>75</v>
      </c>
      <c r="B8" s="10" t="s">
        <v>503</v>
      </c>
      <c r="C8" s="1"/>
      <c r="D8" s="1"/>
      <c r="E8" s="1"/>
      <c r="F8" s="1"/>
      <c r="G8" s="1"/>
      <c r="H8" s="1"/>
      <c r="I8" s="1"/>
      <c r="J8" s="1"/>
    </row>
    <row r="9">
      <c r="A9" s="46" t="s">
        <v>77</v>
      </c>
      <c r="B9" s="10" t="s">
        <v>504</v>
      </c>
      <c r="C9" s="1"/>
      <c r="D9" s="130"/>
      <c r="E9" s="1"/>
      <c r="F9" s="1"/>
      <c r="G9" s="1"/>
      <c r="H9" s="1"/>
      <c r="I9" s="1"/>
      <c r="J9" s="1"/>
    </row>
    <row r="10">
      <c r="A10" s="46" t="s">
        <v>151</v>
      </c>
      <c r="B10" s="76" t="s">
        <v>28</v>
      </c>
      <c r="C10" s="48"/>
      <c r="D10" s="1"/>
      <c r="E10" s="1"/>
      <c r="F10" s="1"/>
      <c r="G10" s="1"/>
      <c r="H10" s="1"/>
      <c r="I10" s="1"/>
      <c r="J10" s="1"/>
    </row>
    <row r="11">
      <c r="A11" s="46" t="s">
        <v>153</v>
      </c>
      <c r="B11" s="76">
        <f>H23</f>
        <v>1040</v>
      </c>
      <c r="C11" s="48"/>
      <c r="D11" s="1"/>
      <c r="E11" s="1"/>
      <c r="F11" s="1"/>
      <c r="G11" s="1"/>
      <c r="H11" s="1"/>
      <c r="I11" s="1"/>
      <c r="J11" s="1"/>
    </row>
    <row r="12">
      <c r="A12" s="46" t="s">
        <v>80</v>
      </c>
      <c r="B12" s="76">
        <f>B11-(B11*0.1)</f>
        <v>936</v>
      </c>
      <c r="C12" s="1"/>
      <c r="D12" s="412"/>
      <c r="E12" s="1"/>
      <c r="F12" s="1"/>
      <c r="G12" s="1"/>
      <c r="H12" s="1"/>
      <c r="I12" s="1"/>
      <c r="J12" s="1"/>
    </row>
    <row r="13">
      <c r="A13" s="46" t="s">
        <v>154</v>
      </c>
      <c r="B13" s="77">
        <v>980.0</v>
      </c>
      <c r="C13" s="46" t="s">
        <v>82</v>
      </c>
      <c r="D13" s="78">
        <f>1-(B13/B11)</f>
        <v>0.05769230769</v>
      </c>
      <c r="E13" s="1"/>
      <c r="F13" s="1"/>
      <c r="G13" s="1"/>
      <c r="H13" s="1"/>
      <c r="I13" s="1"/>
      <c r="J13" s="1"/>
    </row>
    <row r="14">
      <c r="A14" s="46" t="s">
        <v>83</v>
      </c>
      <c r="B14" s="76">
        <f>B13-(B13*0.1)</f>
        <v>882</v>
      </c>
      <c r="C14" s="48"/>
      <c r="D14" s="1"/>
      <c r="E14" s="1"/>
      <c r="F14" s="1"/>
      <c r="G14" s="48"/>
      <c r="H14" s="1"/>
      <c r="I14" s="1"/>
      <c r="J14" s="1"/>
    </row>
    <row r="15">
      <c r="A15" s="46" t="s">
        <v>48</v>
      </c>
      <c r="B15" s="85">
        <v>1.0</v>
      </c>
      <c r="C15" s="98" t="s">
        <v>505</v>
      </c>
      <c r="D15" s="1"/>
      <c r="E15" s="1"/>
      <c r="F15" s="1"/>
      <c r="G15" s="413"/>
      <c r="H15" s="48"/>
      <c r="I15" s="94"/>
      <c r="J15" s="1"/>
    </row>
    <row r="16">
      <c r="A16" s="46" t="s">
        <v>162</v>
      </c>
      <c r="B16" s="414">
        <v>46112.458333333336</v>
      </c>
      <c r="C16" s="50" t="s">
        <v>51</v>
      </c>
      <c r="D16" s="414">
        <v>46143.45832175926</v>
      </c>
      <c r="E16" s="7" t="s">
        <v>506</v>
      </c>
      <c r="F16" s="1"/>
      <c r="G16" s="413"/>
      <c r="H16" s="48"/>
      <c r="I16" s="94"/>
      <c r="J16" s="1"/>
    </row>
    <row r="17">
      <c r="A17" s="46" t="s">
        <v>167</v>
      </c>
      <c r="B17" s="110">
        <v>2.02603025E8</v>
      </c>
      <c r="C17" s="1"/>
      <c r="D17" s="415"/>
      <c r="E17" s="7" t="s">
        <v>507</v>
      </c>
      <c r="F17" s="1"/>
      <c r="G17" s="413"/>
      <c r="H17" s="48"/>
      <c r="I17" s="94"/>
      <c r="J17" s="1"/>
    </row>
    <row r="18">
      <c r="A18" s="1"/>
      <c r="B18" s="1"/>
      <c r="C18" s="1"/>
      <c r="D18" s="1"/>
      <c r="E18" s="1"/>
      <c r="F18" s="1"/>
      <c r="G18" s="94"/>
      <c r="H18" s="48"/>
      <c r="I18" s="94"/>
      <c r="J18" s="1"/>
    </row>
    <row r="19">
      <c r="A19" s="46" t="s">
        <v>84</v>
      </c>
      <c r="B19" s="46" t="s">
        <v>85</v>
      </c>
      <c r="C19" s="46" t="s">
        <v>86</v>
      </c>
      <c r="D19" s="46" t="s">
        <v>57</v>
      </c>
      <c r="E19" s="46" t="s">
        <v>59</v>
      </c>
      <c r="F19" s="46" t="s">
        <v>87</v>
      </c>
      <c r="G19" s="81" t="s">
        <v>88</v>
      </c>
      <c r="H19" s="81" t="s">
        <v>89</v>
      </c>
      <c r="I19" s="99" t="s">
        <v>90</v>
      </c>
      <c r="J19" s="1"/>
    </row>
    <row r="20">
      <c r="A20" s="122" t="s">
        <v>133</v>
      </c>
      <c r="B20" s="83" t="s">
        <v>92</v>
      </c>
      <c r="C20" s="84" t="str">
        <f t="shared" ref="C20:C22" si="1">if(B20="","","(無期限)")</f>
        <v>(無期限)</v>
      </c>
      <c r="D20" s="84">
        <v>50.0</v>
      </c>
      <c r="E20" s="85">
        <v>50.0</v>
      </c>
      <c r="F20" s="83">
        <v>0.0</v>
      </c>
      <c r="G20" s="86">
        <v>10.0</v>
      </c>
      <c r="H20" s="87">
        <f t="shared" ref="H20:H22" si="2">G20*E20</f>
        <v>500</v>
      </c>
      <c r="I20" s="88">
        <f t="shared" ref="I20:I22" si="3">F20*G20</f>
        <v>0</v>
      </c>
      <c r="J20" s="1"/>
    </row>
    <row r="21">
      <c r="A21" s="122" t="s">
        <v>134</v>
      </c>
      <c r="B21" s="83" t="s">
        <v>92</v>
      </c>
      <c r="C21" s="84" t="str">
        <f t="shared" si="1"/>
        <v>(無期限)</v>
      </c>
      <c r="D21" s="84">
        <v>30.0</v>
      </c>
      <c r="E21" s="85">
        <v>30.0</v>
      </c>
      <c r="F21" s="83">
        <v>0.0</v>
      </c>
      <c r="G21" s="86">
        <v>15.0</v>
      </c>
      <c r="H21" s="87">
        <f t="shared" si="2"/>
        <v>450</v>
      </c>
      <c r="I21" s="88">
        <f t="shared" si="3"/>
        <v>0</v>
      </c>
      <c r="J21" s="1"/>
    </row>
    <row r="22">
      <c r="A22" s="122" t="s">
        <v>135</v>
      </c>
      <c r="B22" s="83" t="s">
        <v>92</v>
      </c>
      <c r="C22" s="84" t="str">
        <f t="shared" si="1"/>
        <v>(無期限)</v>
      </c>
      <c r="D22" s="84">
        <v>3.0</v>
      </c>
      <c r="E22" s="85">
        <v>3.0</v>
      </c>
      <c r="F22" s="83">
        <v>0.0</v>
      </c>
      <c r="G22" s="86">
        <v>30.0</v>
      </c>
      <c r="H22" s="87">
        <f t="shared" si="2"/>
        <v>90</v>
      </c>
      <c r="I22" s="88">
        <f t="shared" si="3"/>
        <v>0</v>
      </c>
      <c r="J22" s="1"/>
    </row>
    <row r="23">
      <c r="A23" s="7" t="s">
        <v>508</v>
      </c>
      <c r="B23" s="1"/>
      <c r="C23" s="1"/>
      <c r="D23" s="1"/>
      <c r="E23" s="1"/>
      <c r="F23" s="89" t="s">
        <v>93</v>
      </c>
      <c r="G23" s="28"/>
      <c r="H23" s="59">
        <f t="shared" ref="H23:I23" si="4">SUM(H20:H22)</f>
        <v>1040</v>
      </c>
      <c r="I23" s="88">
        <f t="shared" si="4"/>
        <v>0</v>
      </c>
      <c r="J23" s="1"/>
    </row>
    <row r="24">
      <c r="A24" s="1"/>
      <c r="B24" s="1"/>
      <c r="C24" s="1"/>
      <c r="D24" s="1"/>
      <c r="E24" s="1"/>
      <c r="F24" s="89" t="s">
        <v>94</v>
      </c>
      <c r="G24" s="28"/>
      <c r="H24" s="127">
        <f>B13</f>
        <v>980</v>
      </c>
      <c r="I24" s="145" t="s">
        <v>95</v>
      </c>
      <c r="J24" s="1"/>
    </row>
    <row r="25">
      <c r="A25" s="1"/>
      <c r="B25" s="1"/>
      <c r="C25" s="1"/>
      <c r="D25" s="1"/>
      <c r="E25" s="1"/>
      <c r="F25" s="89" t="s">
        <v>96</v>
      </c>
      <c r="G25" s="28"/>
      <c r="H25" s="92">
        <f>iferror(1-(H24/H23),"")</f>
        <v>0.05769230769</v>
      </c>
      <c r="I25" s="93">
        <f>I23/H24</f>
        <v>0</v>
      </c>
      <c r="J25" s="1"/>
    </row>
    <row r="26">
      <c r="A26" s="1"/>
      <c r="B26" s="1"/>
      <c r="C26" s="1"/>
      <c r="D26" s="1"/>
      <c r="E26" s="1"/>
      <c r="F26" s="303"/>
      <c r="G26" s="303"/>
      <c r="H26" s="407"/>
      <c r="I26" s="407"/>
      <c r="J26" s="1"/>
    </row>
    <row r="27">
      <c r="A27" s="1"/>
      <c r="B27" s="1"/>
      <c r="C27" s="1"/>
      <c r="D27" s="1"/>
      <c r="E27" s="1"/>
      <c r="F27" s="303"/>
      <c r="G27" s="303"/>
      <c r="H27" s="407"/>
      <c r="I27" s="407"/>
      <c r="J27" s="1"/>
    </row>
    <row r="28">
      <c r="A28" s="15" t="s">
        <v>509</v>
      </c>
      <c r="B28" s="5"/>
      <c r="C28" s="5"/>
      <c r="D28" s="5"/>
      <c r="E28" s="5"/>
      <c r="F28" s="5"/>
      <c r="G28" s="5"/>
      <c r="H28" s="5"/>
      <c r="I28" s="5"/>
      <c r="J28" s="5"/>
    </row>
    <row r="29">
      <c r="A29" s="411" t="s">
        <v>501</v>
      </c>
      <c r="B29" s="1"/>
      <c r="C29" s="1"/>
      <c r="D29" s="1"/>
      <c r="E29" s="1"/>
      <c r="F29" s="1"/>
      <c r="G29" s="1"/>
      <c r="H29" s="1"/>
      <c r="I29" s="1"/>
      <c r="J29" s="1"/>
    </row>
    <row r="30">
      <c r="A30" s="46" t="s">
        <v>72</v>
      </c>
      <c r="B30" s="73" t="s">
        <v>510</v>
      </c>
      <c r="C30" s="1"/>
      <c r="D30" s="1"/>
      <c r="E30" s="1"/>
      <c r="F30" s="1"/>
      <c r="G30" s="1"/>
      <c r="H30" s="1"/>
      <c r="I30" s="1"/>
      <c r="J30" s="1"/>
    </row>
    <row r="31">
      <c r="A31" s="74" t="s">
        <v>74</v>
      </c>
      <c r="B31" s="73">
        <v>121.0</v>
      </c>
      <c r="C31" s="1"/>
      <c r="D31" s="1"/>
      <c r="E31" s="1"/>
      <c r="F31" s="1"/>
      <c r="G31" s="1"/>
      <c r="H31" s="1"/>
      <c r="I31" s="1"/>
      <c r="J31" s="1"/>
    </row>
    <row r="32">
      <c r="A32" s="74" t="s">
        <v>75</v>
      </c>
      <c r="B32" s="75" t="s">
        <v>511</v>
      </c>
      <c r="C32" s="1"/>
      <c r="D32" s="1"/>
      <c r="E32" s="1"/>
      <c r="F32" s="1"/>
      <c r="G32" s="1"/>
      <c r="H32" s="1"/>
      <c r="I32" s="1"/>
      <c r="J32" s="1"/>
    </row>
    <row r="33">
      <c r="A33" s="74" t="s">
        <v>77</v>
      </c>
      <c r="B33" s="75" t="s">
        <v>512</v>
      </c>
      <c r="C33" s="1"/>
      <c r="D33" s="1"/>
      <c r="E33" s="1"/>
      <c r="F33" s="1"/>
      <c r="G33" s="1"/>
      <c r="H33" s="1"/>
      <c r="I33" s="1"/>
      <c r="J33" s="1"/>
    </row>
    <row r="34">
      <c r="A34" s="46" t="s">
        <v>79</v>
      </c>
      <c r="B34" s="76">
        <f>H44</f>
        <v>756</v>
      </c>
      <c r="C34" s="1"/>
      <c r="D34" s="1"/>
      <c r="E34" s="1"/>
      <c r="F34" s="1"/>
      <c r="G34" s="1"/>
      <c r="H34" s="1"/>
      <c r="I34" s="1"/>
      <c r="J34" s="1"/>
    </row>
    <row r="35">
      <c r="A35" s="46" t="s">
        <v>80</v>
      </c>
      <c r="B35" s="76">
        <f>B34/1.1</f>
        <v>687.2727273</v>
      </c>
      <c r="C35" s="1"/>
      <c r="D35" s="1"/>
      <c r="E35" s="1"/>
      <c r="F35" s="1"/>
      <c r="G35" s="1"/>
      <c r="H35" s="1"/>
      <c r="I35" s="1"/>
      <c r="J35" s="1"/>
    </row>
    <row r="36">
      <c r="A36" s="46" t="s">
        <v>81</v>
      </c>
      <c r="B36" s="106">
        <v>480.0</v>
      </c>
      <c r="C36" s="46" t="s">
        <v>82</v>
      </c>
      <c r="D36" s="78">
        <f>1-(B36/B34)</f>
        <v>0.3650793651</v>
      </c>
      <c r="E36" s="1"/>
      <c r="F36" s="1"/>
      <c r="G36" s="1"/>
      <c r="H36" s="1"/>
      <c r="I36" s="1"/>
      <c r="J36" s="1"/>
    </row>
    <row r="37">
      <c r="A37" s="46" t="s">
        <v>83</v>
      </c>
      <c r="B37" s="76">
        <f>B36/1.1</f>
        <v>436.3636364</v>
      </c>
      <c r="C37" s="48"/>
      <c r="D37" s="1"/>
      <c r="E37" s="1"/>
      <c r="F37" s="1"/>
      <c r="G37" s="1"/>
      <c r="H37" s="1"/>
      <c r="I37" s="1"/>
      <c r="J37" s="1"/>
    </row>
    <row r="38">
      <c r="A38" s="46" t="s">
        <v>48</v>
      </c>
      <c r="B38" s="97">
        <v>1.0</v>
      </c>
      <c r="C38" s="416" t="s">
        <v>513</v>
      </c>
      <c r="D38" s="1"/>
      <c r="E38" s="1"/>
      <c r="F38" s="1"/>
      <c r="G38" s="1"/>
      <c r="H38" s="1"/>
      <c r="I38" s="1"/>
      <c r="J38" s="1"/>
    </row>
    <row r="39">
      <c r="A39" s="46" t="s">
        <v>50</v>
      </c>
      <c r="B39" s="414">
        <v>46112.458333333336</v>
      </c>
      <c r="C39" s="50" t="s">
        <v>51</v>
      </c>
      <c r="D39" s="414">
        <v>46143.45832175926</v>
      </c>
      <c r="E39" s="7"/>
      <c r="F39" s="1"/>
      <c r="G39" s="1"/>
      <c r="H39" s="1"/>
      <c r="I39" s="1"/>
      <c r="J39" s="1"/>
    </row>
    <row r="40">
      <c r="A40" s="1"/>
      <c r="B40" s="406"/>
      <c r="C40" s="1"/>
      <c r="D40" s="1"/>
      <c r="E40" s="1"/>
      <c r="F40" s="1"/>
      <c r="G40" s="1"/>
      <c r="H40" s="1"/>
      <c r="I40" s="1"/>
      <c r="J40" s="1"/>
    </row>
    <row r="41">
      <c r="A41" s="46" t="s">
        <v>84</v>
      </c>
      <c r="B41" s="46" t="s">
        <v>85</v>
      </c>
      <c r="C41" s="46" t="s">
        <v>86</v>
      </c>
      <c r="D41" s="46" t="s">
        <v>57</v>
      </c>
      <c r="E41" s="46" t="s">
        <v>59</v>
      </c>
      <c r="F41" s="46" t="s">
        <v>87</v>
      </c>
      <c r="G41" s="81" t="s">
        <v>88</v>
      </c>
      <c r="H41" s="46" t="s">
        <v>89</v>
      </c>
      <c r="I41" s="46" t="s">
        <v>90</v>
      </c>
      <c r="J41" s="417"/>
    </row>
    <row r="42">
      <c r="A42" s="418" t="s">
        <v>91</v>
      </c>
      <c r="B42" s="83" t="s">
        <v>92</v>
      </c>
      <c r="C42" s="84" t="str">
        <f t="shared" ref="C42:C43" si="5">if(B42="","","(無期限)")</f>
        <v>(無期限)</v>
      </c>
      <c r="D42" s="84">
        <f t="shared" ref="D42:D43" si="6">E42</f>
        <v>10</v>
      </c>
      <c r="E42" s="296">
        <v>10.0</v>
      </c>
      <c r="F42" s="83">
        <v>0.0</v>
      </c>
      <c r="G42" s="419">
        <v>75.6</v>
      </c>
      <c r="H42" s="87">
        <f t="shared" ref="H42:H43" si="7">G42*E42</f>
        <v>756</v>
      </c>
      <c r="I42" s="88">
        <f t="shared" ref="I42:I43" si="8">F42*G42</f>
        <v>0</v>
      </c>
      <c r="J42" s="420"/>
    </row>
    <row r="43">
      <c r="A43" s="122"/>
      <c r="B43" s="83" t="s">
        <v>92</v>
      </c>
      <c r="C43" s="84" t="str">
        <f t="shared" si="5"/>
        <v>(無期限)</v>
      </c>
      <c r="D43" s="84" t="str">
        <f t="shared" si="6"/>
        <v/>
      </c>
      <c r="E43" s="85"/>
      <c r="F43" s="83">
        <v>0.0</v>
      </c>
      <c r="G43" s="101"/>
      <c r="H43" s="87">
        <f t="shared" si="7"/>
        <v>0</v>
      </c>
      <c r="I43" s="88">
        <f t="shared" si="8"/>
        <v>0</v>
      </c>
      <c r="J43" s="420"/>
    </row>
    <row r="44">
      <c r="A44" s="114" t="s">
        <v>508</v>
      </c>
      <c r="B44" s="1"/>
      <c r="C44" s="1"/>
      <c r="D44" s="1"/>
      <c r="E44" s="1"/>
      <c r="F44" s="89" t="s">
        <v>93</v>
      </c>
      <c r="G44" s="28"/>
      <c r="H44" s="59">
        <f t="shared" ref="H44:I44" si="9">SUM(H42:H43)</f>
        <v>756</v>
      </c>
      <c r="I44" s="88">
        <f t="shared" si="9"/>
        <v>0</v>
      </c>
      <c r="J44" s="420"/>
    </row>
    <row r="45">
      <c r="A45" s="1"/>
      <c r="B45" s="1"/>
      <c r="C45" s="1"/>
      <c r="D45" s="1"/>
      <c r="E45" s="1"/>
      <c r="F45" s="89" t="s">
        <v>94</v>
      </c>
      <c r="G45" s="28"/>
      <c r="H45" s="90">
        <f>B36</f>
        <v>480</v>
      </c>
      <c r="I45" s="91" t="s">
        <v>95</v>
      </c>
      <c r="J45" s="421"/>
    </row>
    <row r="46">
      <c r="A46" s="1"/>
      <c r="B46" s="1"/>
      <c r="C46" s="1"/>
      <c r="D46" s="1"/>
      <c r="E46" s="1"/>
      <c r="F46" s="89" t="s">
        <v>96</v>
      </c>
      <c r="G46" s="28"/>
      <c r="H46" s="92">
        <f>iferror(1-(H45/H44),"")</f>
        <v>0.3650793651</v>
      </c>
      <c r="I46" s="93">
        <f>I44/H45</f>
        <v>0</v>
      </c>
      <c r="J46" s="422"/>
    </row>
    <row r="49">
      <c r="A49" s="15" t="s">
        <v>514</v>
      </c>
      <c r="B49" s="5"/>
      <c r="C49" s="5"/>
      <c r="D49" s="5"/>
      <c r="E49" s="5"/>
      <c r="F49" s="5"/>
      <c r="G49" s="5"/>
      <c r="H49" s="5"/>
      <c r="I49" s="5"/>
      <c r="J49" s="5"/>
    </row>
    <row r="50">
      <c r="A50" s="411" t="s">
        <v>501</v>
      </c>
      <c r="B50" s="1"/>
      <c r="C50" s="1"/>
      <c r="D50" s="7"/>
      <c r="E50" s="423"/>
      <c r="F50" s="1"/>
      <c r="G50" s="1"/>
      <c r="H50" s="1"/>
      <c r="I50" s="1"/>
      <c r="J50" s="1"/>
    </row>
    <row r="51">
      <c r="A51" s="46" t="s">
        <v>72</v>
      </c>
      <c r="B51" s="73" t="s">
        <v>515</v>
      </c>
      <c r="C51" s="1"/>
      <c r="D51" s="1"/>
      <c r="E51" s="7"/>
      <c r="F51" s="1"/>
      <c r="G51" s="1"/>
      <c r="H51" s="1"/>
      <c r="I51" s="1"/>
      <c r="J51" s="1"/>
    </row>
    <row r="52">
      <c r="A52" s="74" t="s">
        <v>74</v>
      </c>
      <c r="B52" s="73">
        <v>122.0</v>
      </c>
      <c r="C52" s="1"/>
      <c r="D52" s="1"/>
      <c r="E52" s="1"/>
      <c r="F52" s="1"/>
      <c r="G52" s="1"/>
      <c r="H52" s="1"/>
      <c r="I52" s="1"/>
      <c r="J52" s="1"/>
    </row>
    <row r="53">
      <c r="A53" s="74" t="s">
        <v>75</v>
      </c>
      <c r="B53" s="75" t="s">
        <v>516</v>
      </c>
      <c r="C53" s="1"/>
      <c r="D53" s="1"/>
      <c r="E53" s="1"/>
      <c r="F53" s="1"/>
      <c r="G53" s="1"/>
      <c r="H53" s="1"/>
      <c r="I53" s="1"/>
      <c r="J53" s="1"/>
    </row>
    <row r="54">
      <c r="A54" s="74" t="s">
        <v>77</v>
      </c>
      <c r="B54" s="75" t="s">
        <v>517</v>
      </c>
      <c r="C54" s="1"/>
      <c r="D54" s="1"/>
      <c r="E54" s="1"/>
      <c r="F54" s="1"/>
      <c r="G54" s="1"/>
      <c r="H54" s="1"/>
      <c r="I54" s="1"/>
      <c r="J54" s="1"/>
    </row>
    <row r="55">
      <c r="A55" s="46" t="s">
        <v>79</v>
      </c>
      <c r="B55" s="76">
        <f>H68</f>
        <v>2552</v>
      </c>
      <c r="C55" s="1"/>
      <c r="D55" s="1"/>
      <c r="E55" s="1"/>
      <c r="F55" s="1"/>
      <c r="G55" s="1"/>
      <c r="H55" s="1"/>
      <c r="I55" s="1"/>
      <c r="J55" s="1"/>
    </row>
    <row r="56">
      <c r="A56" s="46" t="s">
        <v>80</v>
      </c>
      <c r="B56" s="76">
        <f>B55/1.1</f>
        <v>2320</v>
      </c>
      <c r="C56" s="1"/>
      <c r="D56" s="1"/>
      <c r="E56" s="1"/>
      <c r="F56" s="1"/>
      <c r="G56" s="1"/>
      <c r="H56" s="1"/>
      <c r="I56" s="1"/>
      <c r="J56" s="1"/>
    </row>
    <row r="57">
      <c r="A57" s="46" t="s">
        <v>81</v>
      </c>
      <c r="B57" s="106">
        <v>1480.0</v>
      </c>
      <c r="C57" s="46" t="s">
        <v>82</v>
      </c>
      <c r="D57" s="78">
        <f>1-(B57/B55)</f>
        <v>0.4200626959</v>
      </c>
      <c r="E57" s="1"/>
      <c r="F57" s="1"/>
      <c r="G57" s="1"/>
      <c r="H57" s="1"/>
      <c r="I57" s="1"/>
      <c r="J57" s="1"/>
    </row>
    <row r="58">
      <c r="A58" s="46" t="s">
        <v>83</v>
      </c>
      <c r="B58" s="76">
        <f>B57/1.1</f>
        <v>1345.454545</v>
      </c>
      <c r="C58" s="48"/>
      <c r="D58" s="1"/>
      <c r="E58" s="1"/>
      <c r="F58" s="1"/>
      <c r="G58" s="1"/>
      <c r="H58" s="1"/>
      <c r="I58" s="1"/>
      <c r="J58" s="1"/>
    </row>
    <row r="59">
      <c r="A59" s="46" t="s">
        <v>48</v>
      </c>
      <c r="B59" s="97">
        <v>1.0</v>
      </c>
      <c r="C59" s="416" t="s">
        <v>518</v>
      </c>
      <c r="D59" s="1"/>
      <c r="E59" s="1"/>
      <c r="F59" s="1"/>
      <c r="G59" s="1"/>
      <c r="H59" s="1"/>
      <c r="I59" s="1"/>
      <c r="J59" s="1"/>
    </row>
    <row r="60">
      <c r="A60" s="46" t="s">
        <v>50</v>
      </c>
      <c r="B60" s="414">
        <v>46112.458333333336</v>
      </c>
      <c r="C60" s="50" t="s">
        <v>51</v>
      </c>
      <c r="D60" s="414">
        <v>46143.45832175926</v>
      </c>
      <c r="E60" s="7"/>
      <c r="F60" s="1"/>
      <c r="G60" s="1"/>
      <c r="H60" s="1"/>
      <c r="I60" s="1"/>
      <c r="J60" s="1"/>
    </row>
    <row r="61">
      <c r="A61" s="1"/>
      <c r="B61" s="406"/>
      <c r="C61" s="1"/>
      <c r="D61" s="1"/>
      <c r="E61" s="1"/>
      <c r="F61" s="1"/>
      <c r="G61" s="1"/>
      <c r="H61" s="1"/>
      <c r="I61" s="1"/>
      <c r="J61" s="1"/>
    </row>
    <row r="62">
      <c r="A62" s="46" t="s">
        <v>84</v>
      </c>
      <c r="B62" s="46" t="s">
        <v>85</v>
      </c>
      <c r="C62" s="46" t="s">
        <v>86</v>
      </c>
      <c r="D62" s="46" t="s">
        <v>57</v>
      </c>
      <c r="E62" s="46" t="s">
        <v>59</v>
      </c>
      <c r="F62" s="46" t="s">
        <v>87</v>
      </c>
      <c r="G62" s="81" t="s">
        <v>88</v>
      </c>
      <c r="H62" s="46" t="s">
        <v>89</v>
      </c>
      <c r="I62" s="46" t="s">
        <v>90</v>
      </c>
      <c r="J62" s="417"/>
    </row>
    <row r="63">
      <c r="A63" s="418" t="s">
        <v>91</v>
      </c>
      <c r="B63" s="83" t="s">
        <v>92</v>
      </c>
      <c r="C63" s="84" t="str">
        <f t="shared" ref="C63:C67" si="10">if(B63="","","(無期限)")</f>
        <v>(無期限)</v>
      </c>
      <c r="D63" s="84">
        <f t="shared" ref="D63:D66" si="11">E63</f>
        <v>20</v>
      </c>
      <c r="E63" s="296">
        <v>20.0</v>
      </c>
      <c r="F63" s="83">
        <v>0.0</v>
      </c>
      <c r="G63" s="419">
        <v>75.6</v>
      </c>
      <c r="H63" s="87">
        <f t="shared" ref="H63:H67" si="12">G63*E63</f>
        <v>1512</v>
      </c>
      <c r="I63" s="88">
        <f t="shared" ref="I63:I67" si="13">F63*G63</f>
        <v>0</v>
      </c>
      <c r="J63" s="420"/>
    </row>
    <row r="64">
      <c r="A64" s="122" t="s">
        <v>133</v>
      </c>
      <c r="B64" s="83" t="s">
        <v>92</v>
      </c>
      <c r="C64" s="84" t="str">
        <f t="shared" si="10"/>
        <v>(無期限)</v>
      </c>
      <c r="D64" s="84">
        <f t="shared" si="11"/>
        <v>50</v>
      </c>
      <c r="E64" s="424">
        <v>50.0</v>
      </c>
      <c r="F64" s="83">
        <v>0.0</v>
      </c>
      <c r="G64" s="86">
        <v>10.0</v>
      </c>
      <c r="H64" s="87">
        <f t="shared" si="12"/>
        <v>500</v>
      </c>
      <c r="I64" s="88">
        <f t="shared" si="13"/>
        <v>0</v>
      </c>
      <c r="J64" s="420"/>
    </row>
    <row r="65">
      <c r="A65" s="122" t="s">
        <v>134</v>
      </c>
      <c r="B65" s="83" t="s">
        <v>92</v>
      </c>
      <c r="C65" s="84" t="str">
        <f t="shared" si="10"/>
        <v>(無期限)</v>
      </c>
      <c r="D65" s="84">
        <f t="shared" si="11"/>
        <v>30</v>
      </c>
      <c r="E65" s="424">
        <v>30.0</v>
      </c>
      <c r="F65" s="83">
        <v>0.0</v>
      </c>
      <c r="G65" s="86">
        <v>15.0</v>
      </c>
      <c r="H65" s="87">
        <f t="shared" si="12"/>
        <v>450</v>
      </c>
      <c r="I65" s="88">
        <f t="shared" si="13"/>
        <v>0</v>
      </c>
      <c r="J65" s="420"/>
    </row>
    <row r="66">
      <c r="A66" s="122" t="s">
        <v>135</v>
      </c>
      <c r="B66" s="83" t="s">
        <v>92</v>
      </c>
      <c r="C66" s="84" t="str">
        <f t="shared" si="10"/>
        <v>(無期限)</v>
      </c>
      <c r="D66" s="84">
        <f t="shared" si="11"/>
        <v>3</v>
      </c>
      <c r="E66" s="85">
        <v>3.0</v>
      </c>
      <c r="F66" s="83">
        <v>0.0</v>
      </c>
      <c r="G66" s="86">
        <v>30.0</v>
      </c>
      <c r="H66" s="87">
        <f t="shared" si="12"/>
        <v>90</v>
      </c>
      <c r="I66" s="88">
        <f t="shared" si="13"/>
        <v>0</v>
      </c>
      <c r="J66" s="420"/>
    </row>
    <row r="67">
      <c r="A67" s="124" t="s">
        <v>125</v>
      </c>
      <c r="B67" s="85" t="s">
        <v>126</v>
      </c>
      <c r="C67" s="85" t="str">
        <f t="shared" si="10"/>
        <v>(無期限)</v>
      </c>
      <c r="D67" s="85">
        <f>E67+F67</f>
        <v>20000</v>
      </c>
      <c r="E67" s="85">
        <v>0.0</v>
      </c>
      <c r="F67" s="296">
        <v>20000.0</v>
      </c>
      <c r="G67" s="125">
        <v>0.01</v>
      </c>
      <c r="H67" s="126">
        <f t="shared" si="12"/>
        <v>0</v>
      </c>
      <c r="I67" s="125">
        <f t="shared" si="13"/>
        <v>200</v>
      </c>
      <c r="J67" s="425"/>
    </row>
    <row r="68">
      <c r="A68" s="114" t="s">
        <v>508</v>
      </c>
      <c r="B68" s="1"/>
      <c r="C68" s="1"/>
      <c r="D68" s="1"/>
      <c r="E68" s="1"/>
      <c r="F68" s="89" t="s">
        <v>93</v>
      </c>
      <c r="G68" s="28"/>
      <c r="H68" s="59">
        <f>SUM(H63:H66)</f>
        <v>2552</v>
      </c>
      <c r="I68" s="88">
        <f>sum(I64:I67)</f>
        <v>200</v>
      </c>
      <c r="J68" s="420"/>
    </row>
    <row r="69">
      <c r="A69" s="114"/>
      <c r="B69" s="1"/>
      <c r="C69" s="1"/>
      <c r="D69" s="1"/>
      <c r="E69" s="1"/>
      <c r="F69" s="89" t="s">
        <v>94</v>
      </c>
      <c r="G69" s="28"/>
      <c r="H69" s="127">
        <f>B57</f>
        <v>1480</v>
      </c>
      <c r="I69" s="426" t="s">
        <v>127</v>
      </c>
      <c r="J69" s="427"/>
    </row>
    <row r="70">
      <c r="A70" s="114"/>
      <c r="B70" s="1"/>
      <c r="C70" s="1"/>
      <c r="D70" s="1"/>
      <c r="E70" s="1"/>
      <c r="F70" s="89" t="s">
        <v>96</v>
      </c>
      <c r="G70" s="28"/>
      <c r="H70" s="92">
        <f>iferror(1-(H69/H68),"")</f>
        <v>0.4200626959</v>
      </c>
      <c r="I70" s="129">
        <f>I68/H69</f>
        <v>0.1351351351</v>
      </c>
      <c r="J70" s="428"/>
    </row>
    <row r="71">
      <c r="A71" s="7"/>
      <c r="B71" s="1"/>
      <c r="C71" s="1"/>
      <c r="D71" s="1"/>
      <c r="E71" s="1"/>
      <c r="F71" s="303"/>
      <c r="G71" s="303"/>
      <c r="H71" s="407"/>
      <c r="I71" s="429"/>
      <c r="J71" s="429"/>
    </row>
    <row r="72">
      <c r="A72" s="7"/>
      <c r="B72" s="1"/>
      <c r="C72" s="1"/>
      <c r="D72" s="1"/>
      <c r="E72" s="1"/>
      <c r="F72" s="303"/>
      <c r="G72" s="303"/>
      <c r="H72" s="407"/>
      <c r="I72" s="429"/>
      <c r="J72" s="429"/>
    </row>
    <row r="73">
      <c r="A73" s="15" t="s">
        <v>519</v>
      </c>
      <c r="B73" s="5"/>
      <c r="C73" s="5"/>
      <c r="D73" s="5"/>
      <c r="E73" s="5"/>
      <c r="F73" s="5"/>
      <c r="G73" s="5"/>
      <c r="H73" s="5"/>
      <c r="I73" s="5"/>
      <c r="J73" s="5"/>
    </row>
    <row r="74">
      <c r="A74" s="411" t="s">
        <v>501</v>
      </c>
      <c r="B74" s="1"/>
      <c r="C74" s="1"/>
      <c r="D74" s="7"/>
      <c r="E74" s="423"/>
      <c r="F74" s="1"/>
      <c r="G74" s="1"/>
      <c r="H74" s="1"/>
      <c r="I74" s="1"/>
      <c r="J74" s="1"/>
    </row>
    <row r="75">
      <c r="A75" s="46" t="s">
        <v>72</v>
      </c>
      <c r="B75" s="73" t="s">
        <v>520</v>
      </c>
      <c r="C75" s="1"/>
      <c r="D75" s="1"/>
      <c r="E75" s="7"/>
      <c r="F75" s="1"/>
      <c r="G75" s="1"/>
      <c r="H75" s="1"/>
      <c r="I75" s="1"/>
      <c r="J75" s="1"/>
    </row>
    <row r="76">
      <c r="A76" s="74" t="s">
        <v>74</v>
      </c>
      <c r="B76" s="73">
        <v>110.0</v>
      </c>
      <c r="C76" s="1"/>
      <c r="D76" s="1"/>
      <c r="E76" s="1"/>
      <c r="F76" s="1"/>
      <c r="G76" s="1"/>
      <c r="H76" s="1"/>
      <c r="I76" s="1"/>
      <c r="J76" s="1"/>
    </row>
    <row r="77">
      <c r="A77" s="74" t="s">
        <v>75</v>
      </c>
      <c r="B77" s="75" t="s">
        <v>521</v>
      </c>
      <c r="C77" s="1"/>
      <c r="D77" s="1"/>
      <c r="E77" s="1"/>
      <c r="F77" s="1"/>
      <c r="G77" s="1"/>
      <c r="H77" s="1"/>
      <c r="I77" s="1"/>
      <c r="J77" s="1"/>
    </row>
    <row r="78">
      <c r="A78" s="74" t="s">
        <v>77</v>
      </c>
      <c r="B78" s="75" t="s">
        <v>522</v>
      </c>
      <c r="C78" s="1"/>
      <c r="D78" s="1"/>
      <c r="E78" s="1"/>
      <c r="F78" s="1"/>
      <c r="G78" s="1"/>
      <c r="H78" s="1"/>
      <c r="I78" s="1"/>
      <c r="J78" s="1"/>
    </row>
    <row r="79">
      <c r="A79" s="46" t="s">
        <v>79</v>
      </c>
      <c r="B79" s="76">
        <f>H96</f>
        <v>3065</v>
      </c>
      <c r="C79" s="1"/>
      <c r="D79" s="1"/>
      <c r="E79" s="1"/>
      <c r="F79" s="1"/>
      <c r="G79" s="1"/>
      <c r="H79" s="1"/>
      <c r="I79" s="1"/>
      <c r="J79" s="1"/>
    </row>
    <row r="80">
      <c r="A80" s="46" t="s">
        <v>80</v>
      </c>
      <c r="B80" s="76">
        <f>B79/1.1</f>
        <v>2786.363636</v>
      </c>
      <c r="C80" s="1"/>
      <c r="D80" s="1"/>
      <c r="E80" s="1"/>
      <c r="F80" s="1"/>
      <c r="G80" s="1"/>
      <c r="H80" s="1"/>
      <c r="I80" s="1"/>
      <c r="J80" s="1"/>
    </row>
    <row r="81">
      <c r="A81" s="46" t="s">
        <v>81</v>
      </c>
      <c r="B81" s="106">
        <v>1980.0</v>
      </c>
      <c r="C81" s="46" t="s">
        <v>82</v>
      </c>
      <c r="D81" s="78">
        <f>1-(B81/B79)</f>
        <v>0.3539967374</v>
      </c>
      <c r="E81" s="1"/>
      <c r="F81" s="1"/>
      <c r="G81" s="1"/>
      <c r="H81" s="1"/>
      <c r="I81" s="1"/>
      <c r="J81" s="1"/>
    </row>
    <row r="82">
      <c r="A82" s="46" t="s">
        <v>83</v>
      </c>
      <c r="B82" s="76">
        <f>B81/1.1</f>
        <v>1800</v>
      </c>
      <c r="C82" s="48"/>
      <c r="D82" s="1"/>
      <c r="E82" s="1"/>
      <c r="F82" s="1"/>
      <c r="G82" s="1"/>
      <c r="H82" s="1"/>
      <c r="I82" s="1"/>
      <c r="J82" s="1"/>
    </row>
    <row r="83">
      <c r="A83" s="46" t="s">
        <v>48</v>
      </c>
      <c r="B83" s="97">
        <v>1.0</v>
      </c>
      <c r="C83" s="416" t="s">
        <v>523</v>
      </c>
      <c r="D83" s="1"/>
      <c r="E83" s="1"/>
      <c r="F83" s="1"/>
      <c r="G83" s="1"/>
      <c r="H83" s="1"/>
      <c r="I83" s="1"/>
      <c r="J83" s="1"/>
    </row>
    <row r="84">
      <c r="A84" s="46" t="s">
        <v>50</v>
      </c>
      <c r="B84" s="414">
        <v>46101.625</v>
      </c>
      <c r="C84" s="50" t="s">
        <v>51</v>
      </c>
      <c r="D84" s="414">
        <v>46107.62498842592</v>
      </c>
      <c r="E84" s="7" t="s">
        <v>524</v>
      </c>
      <c r="F84" s="1"/>
      <c r="G84" s="1"/>
      <c r="H84" s="1"/>
      <c r="I84" s="1"/>
      <c r="J84" s="1"/>
    </row>
    <row r="85">
      <c r="A85" s="1"/>
      <c r="B85" s="406"/>
      <c r="C85" s="1"/>
      <c r="D85" s="1"/>
      <c r="E85" s="1"/>
      <c r="F85" s="1"/>
      <c r="G85" s="1"/>
      <c r="H85" s="1"/>
      <c r="I85" s="1"/>
      <c r="J85" s="1"/>
    </row>
    <row r="86">
      <c r="A86" s="46" t="s">
        <v>84</v>
      </c>
      <c r="B86" s="46" t="s">
        <v>85</v>
      </c>
      <c r="C86" s="46" t="s">
        <v>86</v>
      </c>
      <c r="D86" s="46" t="s">
        <v>57</v>
      </c>
      <c r="E86" s="46" t="s">
        <v>59</v>
      </c>
      <c r="F86" s="46" t="s">
        <v>87</v>
      </c>
      <c r="G86" s="81" t="s">
        <v>88</v>
      </c>
      <c r="H86" s="46" t="s">
        <v>89</v>
      </c>
      <c r="I86" s="46" t="s">
        <v>90</v>
      </c>
      <c r="J86" s="417"/>
    </row>
    <row r="87">
      <c r="A87" s="122" t="s">
        <v>119</v>
      </c>
      <c r="B87" s="83" t="s">
        <v>126</v>
      </c>
      <c r="C87" s="84" t="str">
        <f t="shared" ref="C87:C95" si="14">if(B87="","","(無期限)")</f>
        <v>(無期限)</v>
      </c>
      <c r="D87" s="430">
        <f t="shared" ref="D87:D94" si="15">E87</f>
        <v>1500</v>
      </c>
      <c r="E87" s="296">
        <v>1500.0</v>
      </c>
      <c r="F87" s="83">
        <v>0.0</v>
      </c>
      <c r="G87" s="101">
        <v>0.27</v>
      </c>
      <c r="H87" s="87">
        <f t="shared" ref="H87:H95" si="16">G87*E87</f>
        <v>405</v>
      </c>
      <c r="I87" s="88">
        <f t="shared" ref="I87:I95" si="17">F87*G87</f>
        <v>0</v>
      </c>
      <c r="J87" s="420"/>
    </row>
    <row r="88">
      <c r="A88" s="122" t="s">
        <v>120</v>
      </c>
      <c r="B88" s="83" t="s">
        <v>126</v>
      </c>
      <c r="C88" s="84" t="str">
        <f t="shared" si="14"/>
        <v>(無期限)</v>
      </c>
      <c r="D88" s="430">
        <f t="shared" si="15"/>
        <v>1500</v>
      </c>
      <c r="E88" s="296">
        <v>1500.0</v>
      </c>
      <c r="F88" s="83">
        <v>0.0</v>
      </c>
      <c r="G88" s="101">
        <v>0.27</v>
      </c>
      <c r="H88" s="87">
        <f t="shared" si="16"/>
        <v>405</v>
      </c>
      <c r="I88" s="88">
        <f t="shared" si="17"/>
        <v>0</v>
      </c>
      <c r="J88" s="420"/>
    </row>
    <row r="89">
      <c r="A89" s="122" t="s">
        <v>121</v>
      </c>
      <c r="B89" s="83" t="s">
        <v>126</v>
      </c>
      <c r="C89" s="84" t="str">
        <f t="shared" si="14"/>
        <v>(無期限)</v>
      </c>
      <c r="D89" s="430">
        <f t="shared" si="15"/>
        <v>1500</v>
      </c>
      <c r="E89" s="296">
        <v>1500.0</v>
      </c>
      <c r="F89" s="83">
        <v>0.0</v>
      </c>
      <c r="G89" s="101">
        <v>0.27</v>
      </c>
      <c r="H89" s="87">
        <f t="shared" si="16"/>
        <v>405</v>
      </c>
      <c r="I89" s="88">
        <f t="shared" si="17"/>
        <v>0</v>
      </c>
      <c r="J89" s="420"/>
    </row>
    <row r="90">
      <c r="A90" s="122" t="s">
        <v>122</v>
      </c>
      <c r="B90" s="83" t="s">
        <v>126</v>
      </c>
      <c r="C90" s="84" t="str">
        <f t="shared" si="14"/>
        <v>(無期限)</v>
      </c>
      <c r="D90" s="430">
        <f t="shared" si="15"/>
        <v>1500</v>
      </c>
      <c r="E90" s="296">
        <v>1500.0</v>
      </c>
      <c r="F90" s="83">
        <v>0.0</v>
      </c>
      <c r="G90" s="101">
        <v>0.27</v>
      </c>
      <c r="H90" s="87">
        <f t="shared" si="16"/>
        <v>405</v>
      </c>
      <c r="I90" s="88">
        <f t="shared" si="17"/>
        <v>0</v>
      </c>
      <c r="J90" s="420"/>
    </row>
    <row r="91">
      <c r="A91" s="122" t="s">
        <v>123</v>
      </c>
      <c r="B91" s="83" t="s">
        <v>126</v>
      </c>
      <c r="C91" s="84" t="str">
        <f t="shared" si="14"/>
        <v>(無期限)</v>
      </c>
      <c r="D91" s="430">
        <f t="shared" si="15"/>
        <v>1500</v>
      </c>
      <c r="E91" s="296">
        <v>1500.0</v>
      </c>
      <c r="F91" s="83">
        <v>0.0</v>
      </c>
      <c r="G91" s="101">
        <v>0.27</v>
      </c>
      <c r="H91" s="87">
        <f t="shared" si="16"/>
        <v>405</v>
      </c>
      <c r="I91" s="88">
        <f t="shared" si="17"/>
        <v>0</v>
      </c>
      <c r="J91" s="420"/>
    </row>
    <row r="92">
      <c r="A92" s="122" t="s">
        <v>133</v>
      </c>
      <c r="B92" s="83" t="s">
        <v>92</v>
      </c>
      <c r="C92" s="84" t="str">
        <f t="shared" si="14"/>
        <v>(無期限)</v>
      </c>
      <c r="D92" s="430">
        <f t="shared" si="15"/>
        <v>50</v>
      </c>
      <c r="E92" s="296">
        <v>50.0</v>
      </c>
      <c r="F92" s="83">
        <v>0.0</v>
      </c>
      <c r="G92" s="86">
        <v>10.0</v>
      </c>
      <c r="H92" s="87">
        <f t="shared" si="16"/>
        <v>500</v>
      </c>
      <c r="I92" s="88">
        <f t="shared" si="17"/>
        <v>0</v>
      </c>
      <c r="J92" s="420"/>
    </row>
    <row r="93">
      <c r="A93" s="122" t="s">
        <v>134</v>
      </c>
      <c r="B93" s="83" t="s">
        <v>92</v>
      </c>
      <c r="C93" s="84" t="str">
        <f t="shared" si="14"/>
        <v>(無期限)</v>
      </c>
      <c r="D93" s="430">
        <f t="shared" si="15"/>
        <v>30</v>
      </c>
      <c r="E93" s="296">
        <v>30.0</v>
      </c>
      <c r="F93" s="83">
        <v>0.0</v>
      </c>
      <c r="G93" s="86">
        <v>15.0</v>
      </c>
      <c r="H93" s="87">
        <f t="shared" si="16"/>
        <v>450</v>
      </c>
      <c r="I93" s="88">
        <f t="shared" si="17"/>
        <v>0</v>
      </c>
      <c r="J93" s="420"/>
    </row>
    <row r="94">
      <c r="A94" s="122" t="s">
        <v>135</v>
      </c>
      <c r="B94" s="83" t="s">
        <v>92</v>
      </c>
      <c r="C94" s="84" t="str">
        <f t="shared" si="14"/>
        <v>(無期限)</v>
      </c>
      <c r="D94" s="430">
        <f t="shared" si="15"/>
        <v>3</v>
      </c>
      <c r="E94" s="296">
        <v>3.0</v>
      </c>
      <c r="F94" s="83">
        <v>0.0</v>
      </c>
      <c r="G94" s="86">
        <v>30.0</v>
      </c>
      <c r="H94" s="87">
        <f t="shared" si="16"/>
        <v>90</v>
      </c>
      <c r="I94" s="88">
        <f t="shared" si="17"/>
        <v>0</v>
      </c>
      <c r="J94" s="420"/>
    </row>
    <row r="95">
      <c r="A95" s="431" t="s">
        <v>125</v>
      </c>
      <c r="B95" s="85" t="s">
        <v>126</v>
      </c>
      <c r="C95" s="85" t="str">
        <f t="shared" si="14"/>
        <v>(無期限)</v>
      </c>
      <c r="D95" s="85">
        <f>E95+F95</f>
        <v>30000</v>
      </c>
      <c r="E95" s="85">
        <v>0.0</v>
      </c>
      <c r="F95" s="296">
        <v>30000.0</v>
      </c>
      <c r="G95" s="125">
        <v>0.01</v>
      </c>
      <c r="H95" s="126">
        <f t="shared" si="16"/>
        <v>0</v>
      </c>
      <c r="I95" s="125">
        <f t="shared" si="17"/>
        <v>300</v>
      </c>
      <c r="J95" s="425"/>
    </row>
    <row r="96">
      <c r="A96" s="114"/>
      <c r="B96" s="1"/>
      <c r="C96" s="1"/>
      <c r="D96" s="1"/>
      <c r="E96" s="1"/>
      <c r="F96" s="89" t="s">
        <v>93</v>
      </c>
      <c r="G96" s="28"/>
      <c r="H96" s="59">
        <f>SUM(H87:H94)</f>
        <v>3065</v>
      </c>
      <c r="I96" s="88">
        <f>sum(I87:I95)</f>
        <v>300</v>
      </c>
      <c r="J96" s="420"/>
    </row>
    <row r="97">
      <c r="A97" s="114"/>
      <c r="B97" s="1"/>
      <c r="C97" s="1"/>
      <c r="D97" s="1"/>
      <c r="E97" s="1"/>
      <c r="F97" s="89" t="s">
        <v>94</v>
      </c>
      <c r="G97" s="28"/>
      <c r="H97" s="127">
        <f>B81</f>
        <v>1980</v>
      </c>
      <c r="I97" s="426" t="s">
        <v>127</v>
      </c>
      <c r="J97" s="427"/>
    </row>
    <row r="98">
      <c r="A98" s="114"/>
      <c r="B98" s="1"/>
      <c r="C98" s="1"/>
      <c r="D98" s="1"/>
      <c r="E98" s="1"/>
      <c r="F98" s="89" t="s">
        <v>96</v>
      </c>
      <c r="G98" s="28"/>
      <c r="H98" s="92">
        <f>iferror(1-(H97/H96),"")</f>
        <v>0.3539967374</v>
      </c>
      <c r="I98" s="129">
        <f>I96/H97</f>
        <v>0.1515151515</v>
      </c>
      <c r="J98" s="428"/>
    </row>
    <row r="99">
      <c r="A99" s="7"/>
      <c r="B99" s="1"/>
      <c r="C99" s="1"/>
      <c r="D99" s="1"/>
      <c r="E99" s="1"/>
      <c r="F99" s="303"/>
      <c r="G99" s="303"/>
      <c r="H99" s="407"/>
      <c r="I99" s="429"/>
      <c r="J99" s="429"/>
    </row>
    <row r="100">
      <c r="A100" s="1"/>
      <c r="B100" s="1"/>
      <c r="C100" s="1"/>
      <c r="D100" s="1"/>
      <c r="E100" s="1"/>
      <c r="F100" s="303"/>
      <c r="G100" s="303"/>
      <c r="H100" s="407"/>
      <c r="I100" s="429"/>
      <c r="J100" s="429"/>
    </row>
    <row r="101">
      <c r="A101" s="45" t="s">
        <v>519</v>
      </c>
      <c r="B101" s="5"/>
      <c r="C101" s="5"/>
      <c r="D101" s="5"/>
      <c r="E101" s="5"/>
      <c r="F101" s="5"/>
      <c r="G101" s="5"/>
      <c r="H101" s="103"/>
      <c r="I101" s="103"/>
      <c r="J101" s="103"/>
    </row>
    <row r="102">
      <c r="A102" s="104" t="s">
        <v>501</v>
      </c>
      <c r="B102" s="1"/>
      <c r="C102" s="1"/>
      <c r="D102" s="1"/>
      <c r="E102" s="1"/>
      <c r="F102" s="1"/>
      <c r="G102" s="1"/>
      <c r="H102" s="130"/>
      <c r="I102" s="130"/>
      <c r="J102" s="130"/>
    </row>
    <row r="103">
      <c r="A103" s="46" t="s">
        <v>72</v>
      </c>
      <c r="B103" s="73" t="s">
        <v>525</v>
      </c>
      <c r="C103" s="1"/>
      <c r="D103" s="1"/>
      <c r="E103" s="1"/>
      <c r="F103" s="1"/>
      <c r="G103" s="1"/>
      <c r="H103" s="130"/>
      <c r="I103" s="130"/>
      <c r="J103" s="130"/>
    </row>
    <row r="104">
      <c r="A104" s="74" t="s">
        <v>74</v>
      </c>
      <c r="B104" s="73">
        <v>123.0</v>
      </c>
      <c r="C104" s="1"/>
      <c r="D104" s="1"/>
      <c r="E104" s="1"/>
      <c r="F104" s="1"/>
      <c r="G104" s="1"/>
      <c r="H104" s="130"/>
      <c r="I104" s="130"/>
      <c r="J104" s="130"/>
    </row>
    <row r="105">
      <c r="A105" s="46" t="s">
        <v>75</v>
      </c>
      <c r="B105" s="75" t="s">
        <v>526</v>
      </c>
      <c r="C105" s="1"/>
      <c r="D105" s="1"/>
      <c r="E105" s="1"/>
      <c r="F105" s="1"/>
      <c r="G105" s="1"/>
      <c r="H105" s="130"/>
      <c r="I105" s="130"/>
      <c r="J105" s="130"/>
    </row>
    <row r="106">
      <c r="A106" s="46" t="s">
        <v>77</v>
      </c>
      <c r="B106" s="75" t="s">
        <v>527</v>
      </c>
      <c r="C106" s="1"/>
      <c r="D106" s="1"/>
      <c r="E106" s="1"/>
      <c r="F106" s="1"/>
      <c r="G106" s="1"/>
      <c r="H106" s="130"/>
      <c r="I106" s="130"/>
      <c r="J106" s="130"/>
    </row>
    <row r="107">
      <c r="A107" s="46" t="s">
        <v>79</v>
      </c>
      <c r="B107" s="76">
        <f>H124</f>
        <v>3065</v>
      </c>
      <c r="C107" s="1"/>
      <c r="D107" s="1"/>
      <c r="E107" s="1"/>
      <c r="F107" s="1"/>
      <c r="G107" s="1"/>
      <c r="H107" s="130"/>
      <c r="I107" s="130"/>
      <c r="J107" s="130"/>
    </row>
    <row r="108">
      <c r="A108" s="46" t="s">
        <v>80</v>
      </c>
      <c r="B108" s="76">
        <f>B107/1.1</f>
        <v>2786.363636</v>
      </c>
      <c r="C108" s="1"/>
      <c r="D108" s="1"/>
      <c r="E108" s="1"/>
      <c r="F108" s="1"/>
      <c r="G108" s="1"/>
      <c r="H108" s="130"/>
      <c r="I108" s="130"/>
      <c r="J108" s="130"/>
    </row>
    <row r="109">
      <c r="A109" s="46" t="s">
        <v>81</v>
      </c>
      <c r="B109" s="77">
        <v>1980.0</v>
      </c>
      <c r="C109" s="46" t="s">
        <v>82</v>
      </c>
      <c r="D109" s="78">
        <f>1-(B109/B107)</f>
        <v>0.3539967374</v>
      </c>
      <c r="E109" s="1"/>
      <c r="F109" s="1"/>
      <c r="G109" s="1"/>
      <c r="H109" s="130"/>
      <c r="I109" s="130"/>
      <c r="J109" s="130"/>
    </row>
    <row r="110">
      <c r="A110" s="46" t="s">
        <v>83</v>
      </c>
      <c r="B110" s="76">
        <f>B109/1.1</f>
        <v>1800</v>
      </c>
      <c r="C110" s="48"/>
      <c r="D110" s="1"/>
      <c r="E110" s="1"/>
      <c r="F110" s="1"/>
      <c r="G110" s="1"/>
      <c r="H110" s="130"/>
      <c r="I110" s="130"/>
      <c r="J110" s="130"/>
    </row>
    <row r="111">
      <c r="A111" s="46" t="s">
        <v>48</v>
      </c>
      <c r="B111" s="97">
        <v>1.0</v>
      </c>
      <c r="C111" s="432" t="s">
        <v>523</v>
      </c>
      <c r="D111" s="1"/>
      <c r="E111" s="1"/>
      <c r="F111" s="1"/>
      <c r="G111" s="1"/>
      <c r="H111" s="130"/>
      <c r="I111" s="130"/>
      <c r="J111" s="130"/>
    </row>
    <row r="112">
      <c r="A112" s="46" t="s">
        <v>50</v>
      </c>
      <c r="B112" s="414">
        <v>46117.625</v>
      </c>
      <c r="C112" s="50" t="s">
        <v>51</v>
      </c>
      <c r="D112" s="414">
        <v>46123.62498842592</v>
      </c>
      <c r="E112" s="1"/>
      <c r="F112" s="1"/>
      <c r="G112" s="1"/>
      <c r="H112" s="130"/>
      <c r="I112" s="130"/>
      <c r="J112" s="130"/>
    </row>
    <row r="113">
      <c r="A113" s="1"/>
      <c r="B113" s="80"/>
      <c r="C113" s="1"/>
      <c r="D113" s="1"/>
      <c r="E113" s="1"/>
      <c r="F113" s="1"/>
      <c r="G113" s="1"/>
      <c r="H113" s="130"/>
      <c r="I113" s="130"/>
      <c r="J113" s="130"/>
    </row>
    <row r="114">
      <c r="A114" s="46" t="s">
        <v>84</v>
      </c>
      <c r="B114" s="46" t="s">
        <v>85</v>
      </c>
      <c r="C114" s="46" t="s">
        <v>86</v>
      </c>
      <c r="D114" s="46" t="s">
        <v>57</v>
      </c>
      <c r="E114" s="46" t="s">
        <v>59</v>
      </c>
      <c r="F114" s="46" t="s">
        <v>87</v>
      </c>
      <c r="G114" s="81" t="s">
        <v>88</v>
      </c>
      <c r="H114" s="433" t="s">
        <v>89</v>
      </c>
      <c r="I114" s="433" t="s">
        <v>90</v>
      </c>
      <c r="J114" s="434"/>
    </row>
    <row r="115">
      <c r="A115" s="122" t="s">
        <v>119</v>
      </c>
      <c r="B115" s="83" t="s">
        <v>126</v>
      </c>
      <c r="C115" s="84" t="str">
        <f t="shared" ref="C115:C123" si="18">if(B115="","","(無期限)")</f>
        <v>(無期限)</v>
      </c>
      <c r="D115" s="84">
        <f t="shared" ref="D115:D122" si="19">E115</f>
        <v>1500</v>
      </c>
      <c r="E115" s="85">
        <v>1500.0</v>
      </c>
      <c r="F115" s="83">
        <v>0.0</v>
      </c>
      <c r="G115" s="101">
        <v>0.27</v>
      </c>
      <c r="H115" s="87">
        <f t="shared" ref="H115:H123" si="20">G115*E115</f>
        <v>405</v>
      </c>
      <c r="I115" s="88">
        <f t="shared" ref="I115:I123" si="21">F115*G115</f>
        <v>0</v>
      </c>
      <c r="J115" s="435"/>
    </row>
    <row r="116">
      <c r="A116" s="122" t="s">
        <v>120</v>
      </c>
      <c r="B116" s="83" t="s">
        <v>126</v>
      </c>
      <c r="C116" s="84" t="str">
        <f t="shared" si="18"/>
        <v>(無期限)</v>
      </c>
      <c r="D116" s="84">
        <f t="shared" si="19"/>
        <v>1500</v>
      </c>
      <c r="E116" s="85">
        <v>1500.0</v>
      </c>
      <c r="F116" s="83">
        <v>0.0</v>
      </c>
      <c r="G116" s="101">
        <v>0.27</v>
      </c>
      <c r="H116" s="87">
        <f t="shared" si="20"/>
        <v>405</v>
      </c>
      <c r="I116" s="88">
        <f t="shared" si="21"/>
        <v>0</v>
      </c>
      <c r="J116" s="435"/>
    </row>
    <row r="117">
      <c r="A117" s="122" t="s">
        <v>121</v>
      </c>
      <c r="B117" s="83" t="s">
        <v>126</v>
      </c>
      <c r="C117" s="84" t="str">
        <f t="shared" si="18"/>
        <v>(無期限)</v>
      </c>
      <c r="D117" s="84">
        <f t="shared" si="19"/>
        <v>1500</v>
      </c>
      <c r="E117" s="85">
        <v>1500.0</v>
      </c>
      <c r="F117" s="83">
        <v>0.0</v>
      </c>
      <c r="G117" s="101">
        <v>0.27</v>
      </c>
      <c r="H117" s="87">
        <f t="shared" si="20"/>
        <v>405</v>
      </c>
      <c r="I117" s="88">
        <f t="shared" si="21"/>
        <v>0</v>
      </c>
      <c r="J117" s="435"/>
    </row>
    <row r="118">
      <c r="A118" s="122" t="s">
        <v>122</v>
      </c>
      <c r="B118" s="83" t="s">
        <v>126</v>
      </c>
      <c r="C118" s="84" t="str">
        <f t="shared" si="18"/>
        <v>(無期限)</v>
      </c>
      <c r="D118" s="84">
        <f t="shared" si="19"/>
        <v>1500</v>
      </c>
      <c r="E118" s="85">
        <v>1500.0</v>
      </c>
      <c r="F118" s="83">
        <v>0.0</v>
      </c>
      <c r="G118" s="101">
        <v>0.27</v>
      </c>
      <c r="H118" s="87">
        <f t="shared" si="20"/>
        <v>405</v>
      </c>
      <c r="I118" s="88">
        <f t="shared" si="21"/>
        <v>0</v>
      </c>
      <c r="J118" s="435"/>
    </row>
    <row r="119">
      <c r="A119" s="122" t="s">
        <v>123</v>
      </c>
      <c r="B119" s="83" t="s">
        <v>126</v>
      </c>
      <c r="C119" s="84" t="str">
        <f t="shared" si="18"/>
        <v>(無期限)</v>
      </c>
      <c r="D119" s="84">
        <f t="shared" si="19"/>
        <v>1500</v>
      </c>
      <c r="E119" s="85">
        <v>1500.0</v>
      </c>
      <c r="F119" s="83">
        <v>0.0</v>
      </c>
      <c r="G119" s="101">
        <v>0.27</v>
      </c>
      <c r="H119" s="87">
        <f t="shared" si="20"/>
        <v>405</v>
      </c>
      <c r="I119" s="88">
        <f t="shared" si="21"/>
        <v>0</v>
      </c>
      <c r="J119" s="435"/>
    </row>
    <row r="120">
      <c r="A120" s="122" t="s">
        <v>133</v>
      </c>
      <c r="B120" s="83" t="s">
        <v>92</v>
      </c>
      <c r="C120" s="84" t="str">
        <f t="shared" si="18"/>
        <v>(無期限)</v>
      </c>
      <c r="D120" s="84">
        <f t="shared" si="19"/>
        <v>50</v>
      </c>
      <c r="E120" s="85">
        <v>50.0</v>
      </c>
      <c r="F120" s="83">
        <v>0.0</v>
      </c>
      <c r="G120" s="86">
        <v>10.0</v>
      </c>
      <c r="H120" s="87">
        <f t="shared" si="20"/>
        <v>500</v>
      </c>
      <c r="I120" s="88">
        <f t="shared" si="21"/>
        <v>0</v>
      </c>
      <c r="J120" s="435"/>
    </row>
    <row r="121">
      <c r="A121" s="122" t="s">
        <v>134</v>
      </c>
      <c r="B121" s="83" t="s">
        <v>92</v>
      </c>
      <c r="C121" s="84" t="str">
        <f t="shared" si="18"/>
        <v>(無期限)</v>
      </c>
      <c r="D121" s="84">
        <f t="shared" si="19"/>
        <v>30</v>
      </c>
      <c r="E121" s="85">
        <v>30.0</v>
      </c>
      <c r="F121" s="83">
        <v>0.0</v>
      </c>
      <c r="G121" s="86">
        <v>15.0</v>
      </c>
      <c r="H121" s="87">
        <f t="shared" si="20"/>
        <v>450</v>
      </c>
      <c r="I121" s="88">
        <f t="shared" si="21"/>
        <v>0</v>
      </c>
      <c r="J121" s="435"/>
    </row>
    <row r="122">
      <c r="A122" s="122" t="s">
        <v>135</v>
      </c>
      <c r="B122" s="83" t="s">
        <v>92</v>
      </c>
      <c r="C122" s="84" t="str">
        <f t="shared" si="18"/>
        <v>(無期限)</v>
      </c>
      <c r="D122" s="84">
        <f t="shared" si="19"/>
        <v>3</v>
      </c>
      <c r="E122" s="85">
        <v>3.0</v>
      </c>
      <c r="F122" s="83">
        <v>0.0</v>
      </c>
      <c r="G122" s="86">
        <v>30.0</v>
      </c>
      <c r="H122" s="87">
        <f t="shared" si="20"/>
        <v>90</v>
      </c>
      <c r="I122" s="88">
        <f t="shared" si="21"/>
        <v>0</v>
      </c>
      <c r="J122" s="435"/>
    </row>
    <row r="123">
      <c r="A123" s="124" t="s">
        <v>125</v>
      </c>
      <c r="B123" s="85" t="s">
        <v>126</v>
      </c>
      <c r="C123" s="85" t="str">
        <f t="shared" si="18"/>
        <v>(無期限)</v>
      </c>
      <c r="D123" s="85">
        <f>E123+F123</f>
        <v>30000</v>
      </c>
      <c r="E123" s="85">
        <v>0.0</v>
      </c>
      <c r="F123" s="85">
        <v>30000.0</v>
      </c>
      <c r="G123" s="125">
        <v>0.01</v>
      </c>
      <c r="H123" s="126">
        <f t="shared" si="20"/>
        <v>0</v>
      </c>
      <c r="I123" s="125">
        <f t="shared" si="21"/>
        <v>300</v>
      </c>
      <c r="J123" s="436"/>
    </row>
    <row r="124">
      <c r="A124" s="1"/>
      <c r="B124" s="1"/>
      <c r="C124" s="1"/>
      <c r="D124" s="1"/>
      <c r="E124" s="1"/>
      <c r="F124" s="89" t="s">
        <v>93</v>
      </c>
      <c r="G124" s="28"/>
      <c r="H124" s="59">
        <f>SUM(H115:H122)</f>
        <v>3065</v>
      </c>
      <c r="I124" s="88">
        <f>sum(I115:I123)</f>
        <v>300</v>
      </c>
      <c r="J124" s="435"/>
    </row>
    <row r="125">
      <c r="A125" s="1"/>
      <c r="B125" s="1"/>
      <c r="C125" s="1"/>
      <c r="D125" s="1"/>
      <c r="E125" s="1"/>
      <c r="F125" s="89" t="s">
        <v>94</v>
      </c>
      <c r="G125" s="28"/>
      <c r="H125" s="127">
        <f>B109</f>
        <v>1980</v>
      </c>
      <c r="I125" s="437" t="s">
        <v>127</v>
      </c>
      <c r="J125" s="438"/>
    </row>
    <row r="126">
      <c r="A126" s="1"/>
      <c r="B126" s="1"/>
      <c r="C126" s="1"/>
      <c r="D126" s="1"/>
      <c r="E126" s="1"/>
      <c r="F126" s="89" t="s">
        <v>96</v>
      </c>
      <c r="G126" s="28"/>
      <c r="H126" s="92">
        <f>iferror(1-(H125/H124),"")</f>
        <v>0.3539967374</v>
      </c>
      <c r="I126" s="129">
        <f>I124/H125</f>
        <v>0.1515151515</v>
      </c>
      <c r="J126" s="438"/>
    </row>
  </sheetData>
  <mergeCells count="15">
    <mergeCell ref="F69:G69"/>
    <mergeCell ref="F70:G70"/>
    <mergeCell ref="F96:G96"/>
    <mergeCell ref="F97:G97"/>
    <mergeCell ref="F98:G98"/>
    <mergeCell ref="F124:G124"/>
    <mergeCell ref="F125:G125"/>
    <mergeCell ref="F126:G126"/>
    <mergeCell ref="F23:G23"/>
    <mergeCell ref="F24:G24"/>
    <mergeCell ref="F25:G25"/>
    <mergeCell ref="F44:G44"/>
    <mergeCell ref="F45:G45"/>
    <mergeCell ref="F46:G46"/>
    <mergeCell ref="F68:G68"/>
  </mergeCells>
  <dataValidations>
    <dataValidation type="list" allowBlank="1" showErrorMessage="1" sqref="I2">
      <formula1>"未承認,承認済,社内承認済"</formula1>
    </dataValidation>
    <dataValidation type="list" allowBlank="1" sqref="B15 B17:B18 B20:B22 B42:B43 B63:B67 B87:B95 B115:B123">
      <formula1>"有償販売,有償+無償販売,無償販売"</formula1>
    </dataValidation>
  </dataValidations>
  <drawing r:id="rId1"/>
</worksheet>
</file>