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4"/>
  </bookViews>
  <sheets>
    <sheet name="Budget Overview" sheetId="1" r:id="rId1"/>
    <sheet name="Sheet2" sheetId="2" state="hidden" r:id="rId2"/>
    <sheet name="Sheet3" sheetId="3" state="hidden" r:id="rId3"/>
    <sheet name="Sandy Grant" sheetId="4" r:id="rId4"/>
    <sheet name="Payroll" sheetId="5" r:id="rId5"/>
  </sheets>
  <definedNames>
    <definedName name="_xlnm.Print_Titles" localSheetId="0">'Budget Overview'!$A:$I,'Budget Overview'!$1:$2</definedName>
  </definedNames>
  <calcPr calcId="125725"/>
</workbook>
</file>

<file path=xl/calcChain.xml><?xml version="1.0" encoding="utf-8"?>
<calcChain xmlns="http://schemas.openxmlformats.org/spreadsheetml/2006/main">
  <c r="M106" i="1"/>
  <c r="N106"/>
  <c r="M251"/>
  <c r="N251"/>
  <c r="N258"/>
  <c r="N116"/>
  <c r="K116"/>
  <c r="L116"/>
  <c r="N112"/>
  <c r="K262" l="1"/>
  <c r="L262"/>
  <c r="M262"/>
  <c r="N262"/>
  <c r="M275"/>
  <c r="N275"/>
  <c r="M272"/>
  <c r="M276" s="1"/>
  <c r="N272"/>
  <c r="N276" s="1"/>
  <c r="N264"/>
  <c r="N265" s="1"/>
  <c r="N266" s="1"/>
  <c r="N243"/>
  <c r="M238"/>
  <c r="N238"/>
  <c r="N226"/>
  <c r="E5" i="5"/>
  <c r="E4"/>
  <c r="N221" i="1"/>
  <c r="N222"/>
  <c r="N223"/>
  <c r="N220"/>
  <c r="C8" i="5"/>
  <c r="D8"/>
  <c r="E8"/>
  <c r="H8"/>
  <c r="B8"/>
  <c r="I6"/>
  <c r="I7"/>
  <c r="H7"/>
  <c r="H6"/>
  <c r="H5"/>
  <c r="H4"/>
  <c r="G6"/>
  <c r="G7"/>
  <c r="F5"/>
  <c r="G5" s="1"/>
  <c r="I5" s="1"/>
  <c r="F6"/>
  <c r="F7"/>
  <c r="F4"/>
  <c r="F8" s="1"/>
  <c r="E6"/>
  <c r="E7"/>
  <c r="D6"/>
  <c r="D4"/>
  <c r="D5"/>
  <c r="B6"/>
  <c r="C5"/>
  <c r="C4"/>
  <c r="B5"/>
  <c r="B4"/>
  <c r="M218" i="1"/>
  <c r="N218"/>
  <c r="N213"/>
  <c r="N207"/>
  <c r="J191"/>
  <c r="K191"/>
  <c r="L191"/>
  <c r="M191"/>
  <c r="N191"/>
  <c r="N186"/>
  <c r="N175"/>
  <c r="N165"/>
  <c r="N161"/>
  <c r="N153"/>
  <c r="N120"/>
  <c r="N139"/>
  <c r="N171" s="1"/>
  <c r="N130"/>
  <c r="N119"/>
  <c r="N121" s="1"/>
  <c r="M95"/>
  <c r="N95"/>
  <c r="N81"/>
  <c r="K76"/>
  <c r="L76"/>
  <c r="M76"/>
  <c r="N76"/>
  <c r="N84" s="1"/>
  <c r="N85" s="1"/>
  <c r="K66"/>
  <c r="L66"/>
  <c r="M66"/>
  <c r="N66"/>
  <c r="N61"/>
  <c r="N54"/>
  <c r="J54"/>
  <c r="K54"/>
  <c r="L54"/>
  <c r="B6" i="4"/>
  <c r="B9" s="1"/>
  <c r="N43" i="1"/>
  <c r="N47"/>
  <c r="J41"/>
  <c r="K41"/>
  <c r="L41"/>
  <c r="M41"/>
  <c r="N41"/>
  <c r="N57" s="1"/>
  <c r="N29"/>
  <c r="N30" s="1"/>
  <c r="N24"/>
  <c r="N20"/>
  <c r="M264"/>
  <c r="M265" s="1"/>
  <c r="M266" s="1"/>
  <c r="L264"/>
  <c r="K264"/>
  <c r="M243"/>
  <c r="M230"/>
  <c r="M213"/>
  <c r="M207"/>
  <c r="M186"/>
  <c r="M175"/>
  <c r="M165"/>
  <c r="M153"/>
  <c r="M139"/>
  <c r="M171" s="1"/>
  <c r="M267" s="1"/>
  <c r="M130"/>
  <c r="M119"/>
  <c r="M121" s="1"/>
  <c r="M81"/>
  <c r="M84"/>
  <c r="M85" s="1"/>
  <c r="M61"/>
  <c r="M54"/>
  <c r="M47"/>
  <c r="M29"/>
  <c r="M30" s="1"/>
  <c r="M24"/>
  <c r="M20"/>
  <c r="L275"/>
  <c r="K275"/>
  <c r="K258"/>
  <c r="L258"/>
  <c r="K251"/>
  <c r="L251"/>
  <c r="L213"/>
  <c r="K213"/>
  <c r="J213"/>
  <c r="L106"/>
  <c r="K106"/>
  <c r="L112"/>
  <c r="K112"/>
  <c r="L272"/>
  <c r="L276" s="1"/>
  <c r="L243"/>
  <c r="L238"/>
  <c r="L230"/>
  <c r="L218"/>
  <c r="L207"/>
  <c r="L186"/>
  <c r="L175"/>
  <c r="L165"/>
  <c r="L153"/>
  <c r="L139"/>
  <c r="L171" s="1"/>
  <c r="L130"/>
  <c r="L119"/>
  <c r="L121" s="1"/>
  <c r="L95"/>
  <c r="L81"/>
  <c r="L84"/>
  <c r="L85" s="1"/>
  <c r="L61"/>
  <c r="L47"/>
  <c r="L29"/>
  <c r="L30" s="1"/>
  <c r="L24"/>
  <c r="L20"/>
  <c r="J275"/>
  <c r="K272"/>
  <c r="K276" s="1"/>
  <c r="J272"/>
  <c r="J276" s="1"/>
  <c r="J262"/>
  <c r="J264" s="1"/>
  <c r="J258"/>
  <c r="J251"/>
  <c r="J265" s="1"/>
  <c r="J266" s="1"/>
  <c r="K243"/>
  <c r="J243"/>
  <c r="K238"/>
  <c r="J238"/>
  <c r="K230"/>
  <c r="J230"/>
  <c r="K218"/>
  <c r="J218"/>
  <c r="K207"/>
  <c r="J207"/>
  <c r="K186"/>
  <c r="J186"/>
  <c r="K175"/>
  <c r="J175"/>
  <c r="K165"/>
  <c r="J165"/>
  <c r="K153"/>
  <c r="J153"/>
  <c r="K139"/>
  <c r="K171" s="1"/>
  <c r="J139"/>
  <c r="J171" s="1"/>
  <c r="J267" s="1"/>
  <c r="K130"/>
  <c r="J130"/>
  <c r="K119"/>
  <c r="K121" s="1"/>
  <c r="J116"/>
  <c r="J112"/>
  <c r="J106"/>
  <c r="J119" s="1"/>
  <c r="J121" s="1"/>
  <c r="K95"/>
  <c r="J95"/>
  <c r="K81"/>
  <c r="J81"/>
  <c r="K84"/>
  <c r="K85" s="1"/>
  <c r="J76"/>
  <c r="J84" s="1"/>
  <c r="J85" s="1"/>
  <c r="J66"/>
  <c r="K61"/>
  <c r="J61"/>
  <c r="K47"/>
  <c r="J47"/>
  <c r="K29"/>
  <c r="K30" s="1"/>
  <c r="J29"/>
  <c r="J30" s="1"/>
  <c r="K24"/>
  <c r="J24"/>
  <c r="K20"/>
  <c r="J20"/>
  <c r="M57" l="1"/>
  <c r="L57"/>
  <c r="K57"/>
  <c r="J57"/>
  <c r="G4" i="5"/>
  <c r="N122" i="1"/>
  <c r="N131" s="1"/>
  <c r="M122"/>
  <c r="M131" s="1"/>
  <c r="M268" s="1"/>
  <c r="M277" s="1"/>
  <c r="K265"/>
  <c r="K266" s="1"/>
  <c r="K267"/>
  <c r="L265"/>
  <c r="L266" s="1"/>
  <c r="L267"/>
  <c r="L122"/>
  <c r="L131" s="1"/>
  <c r="L268"/>
  <c r="L277"/>
  <c r="J122"/>
  <c r="J131" s="1"/>
  <c r="J268" s="1"/>
  <c r="J277" s="1"/>
  <c r="K122"/>
  <c r="K131" s="1"/>
  <c r="K268" s="1"/>
  <c r="K277" s="1"/>
  <c r="G8" i="5" l="1"/>
  <c r="I4"/>
  <c r="I8" s="1"/>
  <c r="N224" i="1" s="1"/>
  <c r="N230" s="1"/>
  <c r="N267" s="1"/>
  <c r="N268" s="1"/>
  <c r="N277" s="1"/>
</calcChain>
</file>

<file path=xl/sharedStrings.xml><?xml version="1.0" encoding="utf-8"?>
<sst xmlns="http://schemas.openxmlformats.org/spreadsheetml/2006/main" count="305" uniqueCount="297">
  <si>
    <t>Jan - Dec 13</t>
  </si>
  <si>
    <t>Budget</t>
  </si>
  <si>
    <t>Ordinary Income/Expense</t>
  </si>
  <si>
    <t>Income</t>
  </si>
  <si>
    <t>4010 · Donations</t>
  </si>
  <si>
    <t>4010-01 · Annual Appeal</t>
  </si>
  <si>
    <t>4010-02 · Corporate &amp; Non-Profit</t>
  </si>
  <si>
    <t>4010-03 · Endowments</t>
  </si>
  <si>
    <t>4010-05 · Sparks Income</t>
  </si>
  <si>
    <t>4040 · In Memory</t>
  </si>
  <si>
    <t>4050 · Individual Gifts</t>
  </si>
  <si>
    <t>4070 · Matching Gift</t>
  </si>
  <si>
    <t>4010 · Donations - Other</t>
  </si>
  <si>
    <t>Total 4010 · Donations</t>
  </si>
  <si>
    <t>4100 · Fiscal Agency Fees</t>
  </si>
  <si>
    <t>4110 · Hop Arts</t>
  </si>
  <si>
    <t>4100 · Fiscal Agency Fees - Other</t>
  </si>
  <si>
    <t>Total 4100 · Fiscal Agency Fees</t>
  </si>
  <si>
    <t>4200 · Fund Raiser Events</t>
  </si>
  <si>
    <t>4210 · Annual Meeting</t>
  </si>
  <si>
    <t>Silent Auction</t>
  </si>
  <si>
    <t>4210 · Annual Meeting - Other</t>
  </si>
  <si>
    <t>Total 4210 · Annual Meeting</t>
  </si>
  <si>
    <t>Total 4200 · Fund Raiser Events</t>
  </si>
  <si>
    <t>4300 · Gain (Loss) on Securities</t>
  </si>
  <si>
    <t>4350 · Unrealized Gain/Loss on Securit</t>
  </si>
  <si>
    <t>4400 · Grants</t>
  </si>
  <si>
    <t>4420 · Charitable Foundation</t>
  </si>
  <si>
    <t>4420-01 · Champlin Foundation</t>
  </si>
  <si>
    <t>4420-02 · Lattner Foundation</t>
  </si>
  <si>
    <t>4420-03 · RI Foundation</t>
  </si>
  <si>
    <t>4420 · Charitable Foundation - Other</t>
  </si>
  <si>
    <t>Total 4420 · Charitable Foundation</t>
  </si>
  <si>
    <t>4440 · Federal Agencies</t>
  </si>
  <si>
    <t>EPA (RINHS)</t>
  </si>
  <si>
    <t>EPA Watershed Counts</t>
  </si>
  <si>
    <t>Total 4440 · Federal Agencies</t>
  </si>
  <si>
    <t>4600 · State Government</t>
  </si>
  <si>
    <t>4610 · RI Trail Advisory Committee</t>
  </si>
  <si>
    <t>4615 · RITAC Jay Cronin Grant</t>
  </si>
  <si>
    <t>4620 · River Council</t>
  </si>
  <si>
    <t>Total 4600 · State Government</t>
  </si>
  <si>
    <t>4400 · Grants - Other</t>
  </si>
  <si>
    <t>Total 4400 · Grants</t>
  </si>
  <si>
    <t>4700 · Interest &amp; Dividends</t>
  </si>
  <si>
    <t>4710 · Endowments</t>
  </si>
  <si>
    <t>4700 · Interest &amp; Dividends - Other</t>
  </si>
  <si>
    <t>Total 4700 · Interest &amp; Dividends</t>
  </si>
  <si>
    <t>4800 · Investment/Endowment Revenue</t>
  </si>
  <si>
    <t>4900 · Membership Dues</t>
  </si>
  <si>
    <t>4910 · Corporate &amp; Non Profit</t>
  </si>
  <si>
    <t>4930 · Individual &amp; Family</t>
  </si>
  <si>
    <t>Total 4900 · Membership Dues</t>
  </si>
  <si>
    <t>5000 · Program Fees</t>
  </si>
  <si>
    <t>5010 · Educational Programs</t>
  </si>
  <si>
    <t>5030 · Recreational Programs</t>
  </si>
  <si>
    <t>5030-00 · Seasonal Event</t>
  </si>
  <si>
    <t>5030-10 · Fishing</t>
  </si>
  <si>
    <t>5030-11 · Family Fun Fishing</t>
  </si>
  <si>
    <t>5030-12 · Fly Rod Building</t>
  </si>
  <si>
    <t>5030-13 · Fly Tying</t>
  </si>
  <si>
    <t>Total 5030-10 · Fishing</t>
  </si>
  <si>
    <t>5030-20 · Hikes</t>
  </si>
  <si>
    <t>5030-30 · Kayaking</t>
  </si>
  <si>
    <t>5030-32 · Paddles</t>
  </si>
  <si>
    <t>5030-30 · Kayaking - Other</t>
  </si>
  <si>
    <t>Total 5030-30 · Kayaking</t>
  </si>
  <si>
    <t>5030-40 · Map &amp; Compass Workshop</t>
  </si>
  <si>
    <t>Total 5030 · Recreational Programs</t>
  </si>
  <si>
    <t>Total 5000 · Program Fees</t>
  </si>
  <si>
    <t>5200 · Sales</t>
  </si>
  <si>
    <t>5210 · Clothing</t>
  </si>
  <si>
    <t>5220 · Hiking Guide</t>
  </si>
  <si>
    <t>5230 · Maps</t>
  </si>
  <si>
    <t>5240 · Other</t>
  </si>
  <si>
    <t>5250 · River Guides</t>
  </si>
  <si>
    <t>5260 · Wholesale</t>
  </si>
  <si>
    <t>5270 · Shipping &amp; Handling</t>
  </si>
  <si>
    <t>5200 · Sales - Other</t>
  </si>
  <si>
    <t>Total 5200 · Sales</t>
  </si>
  <si>
    <t>5500 · Special Project Revenues</t>
  </si>
  <si>
    <t>5530 · Shannock Fish Passage Project</t>
  </si>
  <si>
    <t>USDA NRCS WHIP Program Funding</t>
  </si>
  <si>
    <t>5530-01 · Audit</t>
  </si>
  <si>
    <t>5530-02 · Bid Packages</t>
  </si>
  <si>
    <t>5540 · Horseshoe Falls</t>
  </si>
  <si>
    <t>Eel Pass</t>
  </si>
  <si>
    <t>5540-01 · Engineering</t>
  </si>
  <si>
    <t>5540-02 · Construction</t>
  </si>
  <si>
    <t>5540-04 · Easements</t>
  </si>
  <si>
    <t>Total 5540 · Horseshoe Falls</t>
  </si>
  <si>
    <t>5560 · Kenyon</t>
  </si>
  <si>
    <t>Permits</t>
  </si>
  <si>
    <t>5560-01 · Engineering</t>
  </si>
  <si>
    <t>5560-02 · Construction</t>
  </si>
  <si>
    <t>5560-A · Save the Bay Grant Income</t>
  </si>
  <si>
    <t>Total 5560 · Kenyon</t>
  </si>
  <si>
    <t>5570 · Lower Shannock Falls</t>
  </si>
  <si>
    <t>FEMA</t>
  </si>
  <si>
    <t>5570-03 · Engineering</t>
  </si>
  <si>
    <t>Total 5570 · Lower Shannock Falls</t>
  </si>
  <si>
    <t>5590 · WPWA Project Oversight</t>
  </si>
  <si>
    <t>5530 · Shannock Fish Passage Project - Other</t>
  </si>
  <si>
    <t>Total 5530 · Shannock Fish Passage Project</t>
  </si>
  <si>
    <t>Total 5500 · Special Project Revenues</t>
  </si>
  <si>
    <t>Total Income</t>
  </si>
  <si>
    <t>Cost of Goods Sold</t>
  </si>
  <si>
    <t>Over/Short</t>
  </si>
  <si>
    <t>6000 · Add Beginning Inventory</t>
  </si>
  <si>
    <t>6020 · Less Ending Inventory</t>
  </si>
  <si>
    <t>6030 · Merchandise</t>
  </si>
  <si>
    <t>6050 · Shipping</t>
  </si>
  <si>
    <t>6060 · Maps</t>
  </si>
  <si>
    <t>Total COGS</t>
  </si>
  <si>
    <t>Gross Profit</t>
  </si>
  <si>
    <t>Expense</t>
  </si>
  <si>
    <t>7000 · Administration</t>
  </si>
  <si>
    <t>7010 · Accounting</t>
  </si>
  <si>
    <t>Less Accounting Charged to Grnt</t>
  </si>
  <si>
    <t>Less Accounting charged to Shan</t>
  </si>
  <si>
    <t>7010-02 · Tax Return</t>
  </si>
  <si>
    <t>7010 · Accounting - Other</t>
  </si>
  <si>
    <t>Total 7010 · Accounting</t>
  </si>
  <si>
    <t>7030 · Bank &amp; Credit Card</t>
  </si>
  <si>
    <t>7040 · Bank Error</t>
  </si>
  <si>
    <t>7070 · Depreciation</t>
  </si>
  <si>
    <t>7090 · Dues/Fees</t>
  </si>
  <si>
    <t>7100 · Electric</t>
  </si>
  <si>
    <t>7110 · Equipment</t>
  </si>
  <si>
    <t>7140 · Heat</t>
  </si>
  <si>
    <t>7150 · Insurance</t>
  </si>
  <si>
    <t>7160 · Internet/Website</t>
  </si>
  <si>
    <t>7160-10 · Internet</t>
  </si>
  <si>
    <t>7160-20 · Website Design</t>
  </si>
  <si>
    <t>7160 · Internet/Website - Other</t>
  </si>
  <si>
    <t>Total 7160 · Internet/Website</t>
  </si>
  <si>
    <t>7170 · Licenses &amp; Permits</t>
  </si>
  <si>
    <t>7180 · Meeting Refreshments</t>
  </si>
  <si>
    <t>7190 · Misc.</t>
  </si>
  <si>
    <t>7200 · Office Expense</t>
  </si>
  <si>
    <t>7210 · Payroll Service</t>
  </si>
  <si>
    <t>7220 · Postage &amp; Shipping</t>
  </si>
  <si>
    <t>7230 · Printing</t>
  </si>
  <si>
    <t>7240 · Professional Services</t>
  </si>
  <si>
    <t>7250 · Property Maint</t>
  </si>
  <si>
    <t>7250-10 · Snow Removal</t>
  </si>
  <si>
    <t>7250 · Property Maint - Other</t>
  </si>
  <si>
    <t>Total 7250 · Property Maint</t>
  </si>
  <si>
    <t>7270 · Staff Expenses</t>
  </si>
  <si>
    <t>7285 · Taxes</t>
  </si>
  <si>
    <t>7290 · Telephone</t>
  </si>
  <si>
    <t>7300 · Training &amp; Certification</t>
  </si>
  <si>
    <t>7310 · Travel &amp; Conferences</t>
  </si>
  <si>
    <t>Total 7000 · Administration</t>
  </si>
  <si>
    <t>7020 · Board of Trustees</t>
  </si>
  <si>
    <t>7020-03 · Miscellaneous</t>
  </si>
  <si>
    <t>7020-04 · Monthly Meetings</t>
  </si>
  <si>
    <t>Total 7020 · Board of Trustees</t>
  </si>
  <si>
    <t>7105 · Endowment Management Fee</t>
  </si>
  <si>
    <t>7400 · Educational Programs</t>
  </si>
  <si>
    <t>7415 · Bird Watching</t>
  </si>
  <si>
    <t>7420 · AWEsome Training</t>
  </si>
  <si>
    <t>7425 · Map &amp; Compass Workshop</t>
  </si>
  <si>
    <t>7450 · Newsletter</t>
  </si>
  <si>
    <t>7460 · Public Outreach</t>
  </si>
  <si>
    <t>7400 · Educational Programs - Other</t>
  </si>
  <si>
    <t>Total 7400 · Educational Programs</t>
  </si>
  <si>
    <t>7500 · Fund Raising</t>
  </si>
  <si>
    <t>7510 · Annual Meeting</t>
  </si>
  <si>
    <t>7520 · Appeal</t>
  </si>
  <si>
    <t>Total 7500 · Fund Raising</t>
  </si>
  <si>
    <t>7600 · Grant Expenses</t>
  </si>
  <si>
    <t>Champlin Grant - Bldg. Rehab</t>
  </si>
  <si>
    <t>CI Leveraging Grant</t>
  </si>
  <si>
    <t>New RITAC - Jay Cronin</t>
  </si>
  <si>
    <t>RI Foundation</t>
  </si>
  <si>
    <t>RI Trail Advisory Committee</t>
  </si>
  <si>
    <t>RINH/EPA Grant - Watershed Coun</t>
  </si>
  <si>
    <t>RITAC RIDEM Browning Mill Pond</t>
  </si>
  <si>
    <t>Strategic Planning Grant</t>
  </si>
  <si>
    <t>Urban Waters Grant</t>
  </si>
  <si>
    <t>7610 · River Council Grant Expenses</t>
  </si>
  <si>
    <t>Total 7600 · Grant Expenses</t>
  </si>
  <si>
    <t>7700 · Membership &amp; Volunteers</t>
  </si>
  <si>
    <t>7730 · Membership Renewal</t>
  </si>
  <si>
    <t>7740 · Volunteer Recognition</t>
  </si>
  <si>
    <t>Total 7700 · Membership &amp; Volunteers</t>
  </si>
  <si>
    <t>7800 · Payroll &amp; Benefits</t>
  </si>
  <si>
    <t>7810 · Executive Director</t>
  </si>
  <si>
    <t>7820 · Program Director</t>
  </si>
  <si>
    <t>7830 · Program Staff</t>
  </si>
  <si>
    <t>7850 · Interns</t>
  </si>
  <si>
    <t>7860 · Payroll Taxes</t>
  </si>
  <si>
    <t>7870 · Health Insurance</t>
  </si>
  <si>
    <t>7880 · Benefit Allowance</t>
  </si>
  <si>
    <t>7890 · Workers Comp</t>
  </si>
  <si>
    <t>7898 · Less Expenses Alloc. to Grants</t>
  </si>
  <si>
    <t>7899 · Less Special Project Oversight</t>
  </si>
  <si>
    <t>Total 7800 · Payroll &amp; Benefits</t>
  </si>
  <si>
    <t>7900 · Recreational Programs</t>
  </si>
  <si>
    <t>7910 · Family Fun Fishing</t>
  </si>
  <si>
    <t>7915 · Fly Rod Building</t>
  </si>
  <si>
    <t>7930 · Kayak Maintenance</t>
  </si>
  <si>
    <t>7900 · Recreational Programs - Other</t>
  </si>
  <si>
    <t>Total 7900 · Recreational Programs</t>
  </si>
  <si>
    <t>7995 · Scientific Monitoring</t>
  </si>
  <si>
    <t>7996 · Equipment &amp; Supplies</t>
  </si>
  <si>
    <t>7997 · Habitat</t>
  </si>
  <si>
    <t>7999 · Water Quality</t>
  </si>
  <si>
    <t>Total 7995 · Scientific Monitoring</t>
  </si>
  <si>
    <t>8000 · Special Projects Expenses</t>
  </si>
  <si>
    <t>Sparks Expense</t>
  </si>
  <si>
    <t>8500 · Shannock Fish Passage Project</t>
  </si>
  <si>
    <t>WPWA Project Oversight</t>
  </si>
  <si>
    <t>8510 · Audit</t>
  </si>
  <si>
    <t>8600 · Horseshoe</t>
  </si>
  <si>
    <t>8610 · Easements</t>
  </si>
  <si>
    <t>Total 8600 · Horseshoe</t>
  </si>
  <si>
    <t>8700 · Kenyon</t>
  </si>
  <si>
    <t>Construction</t>
  </si>
  <si>
    <t>Construction Oversight</t>
  </si>
  <si>
    <t>Cultural Resources</t>
  </si>
  <si>
    <t>8710 · Engineering</t>
  </si>
  <si>
    <t>Total 8700 · Kenyon</t>
  </si>
  <si>
    <t>8800 · Lower Shannock</t>
  </si>
  <si>
    <t>8830 · Engineering</t>
  </si>
  <si>
    <t>Total 8830 · Engineering</t>
  </si>
  <si>
    <t>8860 · Streambank Stabilization</t>
  </si>
  <si>
    <t>Total 8800 · Lower Shannock</t>
  </si>
  <si>
    <t>Total 8500 · Shannock Fish Passage Project</t>
  </si>
  <si>
    <t>Total 8000 · Special Projects Expenses</t>
  </si>
  <si>
    <t>Total Expense</t>
  </si>
  <si>
    <t>Net Ordinary Income</t>
  </si>
  <si>
    <t>Other Income/Expense</t>
  </si>
  <si>
    <t>Other Income</t>
  </si>
  <si>
    <t>Disposition of Assets</t>
  </si>
  <si>
    <t>Total Other Income</t>
  </si>
  <si>
    <t>Other Expense</t>
  </si>
  <si>
    <t>9700 · Foreign Tax</t>
  </si>
  <si>
    <t>Total Other Expense</t>
  </si>
  <si>
    <t>Net Other Income</t>
  </si>
  <si>
    <t>Net Income</t>
  </si>
  <si>
    <t>2013</t>
  </si>
  <si>
    <t>YTD</t>
  </si>
  <si>
    <t>4010-04 · Restricted</t>
  </si>
  <si>
    <t>4010-06 · Lecture Series</t>
  </si>
  <si>
    <t>4020 ·Facility Usage</t>
  </si>
  <si>
    <t>4045 · Bequests</t>
  </si>
  <si>
    <t>4047 · Salomon Fund</t>
  </si>
  <si>
    <t>4420-04 · Kimball Foundation</t>
  </si>
  <si>
    <t>4500 · Municipal Government</t>
  </si>
  <si>
    <t>4630 · Water Quality Monitoring</t>
  </si>
  <si>
    <t>5020 · Speakers Fees</t>
  </si>
  <si>
    <t>5030-45· Project WET Workshop</t>
  </si>
  <si>
    <t>7410 · Annual Meeting</t>
  </si>
  <si>
    <t>Trout Unlimited</t>
  </si>
  <si>
    <t>7760 · Outreach Expenses</t>
  </si>
  <si>
    <t>Land Trust Rally</t>
  </si>
  <si>
    <t>7765 · Earth Day</t>
  </si>
  <si>
    <t>7760 · Outreach Expenses Other</t>
  </si>
  <si>
    <t>Bird Hike</t>
  </si>
  <si>
    <t>7920 · River &amp; Trail Maintenance</t>
  </si>
  <si>
    <t>Lattner Grant Expenses</t>
  </si>
  <si>
    <t>7650 · Meals &amp; Entertainment</t>
  </si>
  <si>
    <t>7720 · Annual Meeting Awards</t>
  </si>
  <si>
    <t>USFW Sandy Grant</t>
  </si>
  <si>
    <t>USFW Sandy Grant Expenses</t>
  </si>
  <si>
    <t>NPS Wild &amp; Scenic Waterways</t>
  </si>
  <si>
    <t>Sandy Grant Breakdown</t>
  </si>
  <si>
    <t>Chris or PM</t>
  </si>
  <si>
    <t>Support Staff</t>
  </si>
  <si>
    <t>Intern</t>
  </si>
  <si>
    <t>Kristy</t>
  </si>
  <si>
    <t>40% of total allowed</t>
  </si>
  <si>
    <t>Audit</t>
  </si>
  <si>
    <t>Website</t>
  </si>
  <si>
    <t>4611 · Coastal Institute Leveraging Grant</t>
  </si>
  <si>
    <t>5619 · White Rock Dam Removal</t>
  </si>
  <si>
    <t>Kayak Trailer</t>
  </si>
  <si>
    <t>7470 · Youth Education</t>
  </si>
  <si>
    <t>7530 · Fund Drives</t>
  </si>
  <si>
    <t>Payroll &amp; Benefits</t>
  </si>
  <si>
    <t>Executive Director</t>
  </si>
  <si>
    <t>Program Director</t>
  </si>
  <si>
    <t>Program Coordinator</t>
  </si>
  <si>
    <t>Interns</t>
  </si>
  <si>
    <t>Current</t>
  </si>
  <si>
    <t>Proposed</t>
  </si>
  <si>
    <t>Benefit Allowance</t>
  </si>
  <si>
    <t>FICA/Med</t>
  </si>
  <si>
    <t>Total</t>
  </si>
  <si>
    <t>SUTA</t>
  </si>
  <si>
    <t>Total Taxes</t>
  </si>
  <si>
    <t>Thru 12/16/14</t>
  </si>
  <si>
    <t>u</t>
  </si>
  <si>
    <t>4090 · Securities</t>
  </si>
  <si>
    <t>7050 · Contributions (Cash)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</si>
</sst>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7" xfId="0" applyBorder="1"/>
    <xf numFmtId="40" fontId="0" fillId="0" borderId="0" xfId="0" applyNumberFormat="1" applyAlignment="1">
      <alignment horizontal="center"/>
    </xf>
    <xf numFmtId="40" fontId="0" fillId="0" borderId="0" xfId="0" applyNumberFormat="1" applyAlignment="1">
      <alignment horizontal="center" wrapText="1"/>
    </xf>
    <xf numFmtId="40" fontId="0" fillId="0" borderId="0" xfId="0" applyNumberFormat="1"/>
    <xf numFmtId="40" fontId="0" fillId="0" borderId="7" xfId="0" applyNumberFormat="1" applyBorder="1"/>
    <xf numFmtId="40" fontId="2" fillId="0" borderId="0" xfId="0" applyNumberFormat="1" applyFont="1"/>
    <xf numFmtId="40" fontId="1" fillId="0" borderId="1" xfId="0" applyNumberFormat="1" applyFont="1" applyBorder="1" applyAlignment="1">
      <alignment horizontal="center"/>
    </xf>
    <xf numFmtId="40" fontId="1" fillId="0" borderId="0" xfId="0" applyNumberFormat="1" applyFont="1" applyBorder="1" applyAlignment="1">
      <alignment horizontal="center"/>
    </xf>
    <xf numFmtId="40" fontId="2" fillId="0" borderId="0" xfId="0" applyNumberFormat="1" applyFont="1" applyAlignment="1">
      <alignment horizontal="center"/>
    </xf>
    <xf numFmtId="40" fontId="2" fillId="0" borderId="2" xfId="0" applyNumberFormat="1" applyFont="1" applyBorder="1" applyAlignment="1">
      <alignment horizontal="center"/>
    </xf>
    <xf numFmtId="40" fontId="3" fillId="0" borderId="0" xfId="0" applyNumberFormat="1" applyFont="1"/>
    <xf numFmtId="40" fontId="3" fillId="0" borderId="3" xfId="0" applyNumberFormat="1" applyFont="1" applyBorder="1"/>
    <xf numFmtId="40" fontId="3" fillId="0" borderId="0" xfId="0" applyNumberFormat="1" applyFont="1" applyBorder="1"/>
    <xf numFmtId="40" fontId="3" fillId="0" borderId="4" xfId="0" applyNumberFormat="1" applyFont="1" applyBorder="1"/>
    <xf numFmtId="40" fontId="2" fillId="0" borderId="0" xfId="0" applyNumberFormat="1" applyFont="1" applyBorder="1"/>
    <xf numFmtId="40" fontId="0" fillId="0" borderId="0" xfId="0" applyNumberFormat="1" applyBorder="1"/>
    <xf numFmtId="40" fontId="3" fillId="0" borderId="5" xfId="0" applyNumberFormat="1" applyFont="1" applyBorder="1"/>
    <xf numFmtId="40" fontId="2" fillId="0" borderId="6" xfId="0" applyNumberFormat="1" applyFont="1" applyBorder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8"/>
  <sheetViews>
    <sheetView showGridLines="0" workbookViewId="0">
      <pane xSplit="9" ySplit="2" topLeftCell="J267" activePane="bottomRight" state="frozen"/>
      <selection pane="topRight" activeCell="J1" sqref="J1"/>
      <selection pane="bottomLeft" activeCell="A3" sqref="A3"/>
      <selection pane="bottomRight" activeCell="P276" sqref="P276"/>
    </sheetView>
  </sheetViews>
  <sheetFormatPr defaultRowHeight="15"/>
  <cols>
    <col min="1" max="8" width="3" style="6" customWidth="1"/>
    <col min="9" max="9" width="38.5703125" style="6" customWidth="1"/>
    <col min="10" max="10" width="13.140625" style="4" bestFit="1" customWidth="1"/>
    <col min="11" max="11" width="11.28515625" style="4" bestFit="1" customWidth="1"/>
    <col min="12" max="12" width="12.85546875" style="4" bestFit="1" customWidth="1"/>
    <col min="13" max="14" width="11.28515625" style="4" bestFit="1" customWidth="1"/>
    <col min="15" max="16384" width="9.140625" style="4"/>
  </cols>
  <sheetData>
    <row r="1" spans="1:15" ht="15.75" thickBot="1">
      <c r="J1" s="7" t="s">
        <v>242</v>
      </c>
      <c r="K1" s="7"/>
      <c r="L1" s="8" t="s">
        <v>243</v>
      </c>
      <c r="M1" s="19">
        <v>2014</v>
      </c>
      <c r="N1" s="19">
        <v>2015</v>
      </c>
    </row>
    <row r="2" spans="1:15" s="2" customFormat="1" ht="16.5" thickTop="1" thickBot="1">
      <c r="A2" s="9"/>
      <c r="B2" s="9"/>
      <c r="C2" s="9"/>
      <c r="D2" s="9"/>
      <c r="E2" s="9"/>
      <c r="F2" s="9"/>
      <c r="G2" s="9"/>
      <c r="H2" s="9"/>
      <c r="I2" s="9"/>
      <c r="J2" s="10" t="s">
        <v>0</v>
      </c>
      <c r="K2" s="10" t="s">
        <v>1</v>
      </c>
      <c r="L2" s="10" t="s">
        <v>293</v>
      </c>
      <c r="M2" s="10" t="s">
        <v>1</v>
      </c>
      <c r="N2" s="10" t="s">
        <v>287</v>
      </c>
    </row>
    <row r="3" spans="1:15" ht="15.75" thickTop="1">
      <c r="B3" s="6" t="s">
        <v>2</v>
      </c>
      <c r="J3" s="11"/>
      <c r="K3" s="11"/>
      <c r="L3" s="11"/>
      <c r="M3" s="11"/>
      <c r="N3" s="11"/>
    </row>
    <row r="4" spans="1:15">
      <c r="D4" s="6" t="s">
        <v>3</v>
      </c>
      <c r="J4" s="11"/>
      <c r="K4" s="11"/>
      <c r="L4" s="11"/>
      <c r="M4" s="11"/>
      <c r="N4" s="11"/>
    </row>
    <row r="5" spans="1:15">
      <c r="E5" s="6" t="s">
        <v>4</v>
      </c>
      <c r="J5" s="11"/>
      <c r="K5" s="11"/>
      <c r="L5" s="11"/>
      <c r="M5" s="11"/>
      <c r="N5" s="11"/>
      <c r="O5" s="4" t="s">
        <v>294</v>
      </c>
    </row>
    <row r="6" spans="1:15">
      <c r="F6" s="6" t="s">
        <v>5</v>
      </c>
      <c r="J6" s="11">
        <v>7390</v>
      </c>
      <c r="K6" s="11">
        <v>12000</v>
      </c>
      <c r="L6" s="11">
        <v>9036</v>
      </c>
      <c r="M6" s="11">
        <v>18000</v>
      </c>
      <c r="N6" s="11">
        <v>0</v>
      </c>
    </row>
    <row r="7" spans="1:15">
      <c r="F7" s="6" t="s">
        <v>6</v>
      </c>
      <c r="J7" s="11">
        <v>300</v>
      </c>
      <c r="K7" s="11">
        <v>3400</v>
      </c>
      <c r="L7" s="11">
        <v>1512</v>
      </c>
      <c r="M7" s="11">
        <v>4000</v>
      </c>
      <c r="N7" s="11">
        <v>0</v>
      </c>
    </row>
    <row r="8" spans="1:15">
      <c r="F8" s="6" t="s">
        <v>7</v>
      </c>
      <c r="J8" s="11">
        <v>0</v>
      </c>
      <c r="K8" s="11">
        <v>5500</v>
      </c>
      <c r="L8" s="11"/>
      <c r="M8" s="11"/>
      <c r="N8" s="11">
        <v>0</v>
      </c>
    </row>
    <row r="9" spans="1:15">
      <c r="F9" s="6" t="s">
        <v>244</v>
      </c>
      <c r="J9" s="11"/>
      <c r="K9" s="11"/>
      <c r="L9" s="11">
        <v>1050</v>
      </c>
      <c r="M9" s="11"/>
      <c r="N9" s="11">
        <v>0</v>
      </c>
    </row>
    <row r="10" spans="1:15">
      <c r="F10" s="6" t="s">
        <v>8</v>
      </c>
      <c r="J10" s="11">
        <v>3010.47</v>
      </c>
      <c r="K10" s="11"/>
      <c r="L10" s="11"/>
      <c r="M10" s="11"/>
      <c r="N10" s="11">
        <v>0</v>
      </c>
    </row>
    <row r="11" spans="1:15">
      <c r="F11" s="6" t="s">
        <v>245</v>
      </c>
      <c r="J11" s="11"/>
      <c r="K11" s="11"/>
      <c r="L11" s="11">
        <v>1000</v>
      </c>
      <c r="M11" s="11"/>
      <c r="N11" s="11">
        <v>0</v>
      </c>
    </row>
    <row r="12" spans="1:15">
      <c r="F12" s="6" t="s">
        <v>246</v>
      </c>
      <c r="J12" s="11"/>
      <c r="K12" s="11"/>
      <c r="L12" s="11">
        <v>524.62</v>
      </c>
      <c r="M12" s="11"/>
      <c r="N12" s="11">
        <v>1000</v>
      </c>
    </row>
    <row r="13" spans="1:15">
      <c r="F13" s="6" t="s">
        <v>9</v>
      </c>
      <c r="J13" s="11">
        <v>405</v>
      </c>
      <c r="K13" s="11"/>
      <c r="L13" s="11">
        <v>125</v>
      </c>
      <c r="M13" s="11">
        <v>500</v>
      </c>
      <c r="N13" s="11">
        <v>0</v>
      </c>
    </row>
    <row r="14" spans="1:15">
      <c r="F14" s="6" t="s">
        <v>247</v>
      </c>
      <c r="J14" s="11"/>
      <c r="K14" s="11"/>
      <c r="L14" s="11"/>
      <c r="M14" s="11">
        <v>2000</v>
      </c>
      <c r="N14" s="11">
        <v>0</v>
      </c>
    </row>
    <row r="15" spans="1:15">
      <c r="F15" s="6" t="s">
        <v>248</v>
      </c>
      <c r="J15" s="11"/>
      <c r="K15" s="11"/>
      <c r="L15" s="11">
        <v>225</v>
      </c>
      <c r="M15" s="11"/>
      <c r="N15" s="11">
        <v>0</v>
      </c>
    </row>
    <row r="16" spans="1:15">
      <c r="F16" s="6" t="s">
        <v>10</v>
      </c>
      <c r="J16" s="11">
        <v>5965.05</v>
      </c>
      <c r="K16" s="11">
        <v>3000</v>
      </c>
      <c r="L16" s="11">
        <v>8593.1</v>
      </c>
      <c r="M16" s="11">
        <v>3000</v>
      </c>
      <c r="N16" s="11">
        <v>0</v>
      </c>
    </row>
    <row r="17" spans="5:14">
      <c r="F17" s="6" t="s">
        <v>11</v>
      </c>
      <c r="J17" s="11">
        <v>441.2</v>
      </c>
      <c r="K17" s="11">
        <v>200</v>
      </c>
      <c r="L17" s="11">
        <v>262.19</v>
      </c>
      <c r="M17" s="11">
        <v>150</v>
      </c>
      <c r="N17" s="11">
        <v>0</v>
      </c>
    </row>
    <row r="18" spans="5:14">
      <c r="F18" s="6" t="s">
        <v>295</v>
      </c>
      <c r="J18" s="11"/>
      <c r="K18" s="11"/>
      <c r="L18" s="11">
        <v>463.94</v>
      </c>
      <c r="M18" s="11"/>
      <c r="N18" s="11"/>
    </row>
    <row r="19" spans="5:14" ht="15.75" thickBot="1">
      <c r="F19" s="6" t="s">
        <v>12</v>
      </c>
      <c r="J19" s="12">
        <v>-9796.4500000000007</v>
      </c>
      <c r="K19" s="12"/>
      <c r="L19" s="12"/>
      <c r="M19" s="12"/>
      <c r="N19" s="12">
        <v>17000</v>
      </c>
    </row>
    <row r="20" spans="5:14">
      <c r="E20" s="6" t="s">
        <v>13</v>
      </c>
      <c r="J20" s="11">
        <f>ROUND(SUM(J5:J19),5)</f>
        <v>7715.27</v>
      </c>
      <c r="K20" s="11">
        <f>ROUND(SUM(K5:K19),5)</f>
        <v>24100</v>
      </c>
      <c r="L20" s="11">
        <f>ROUND(SUM(L5:L19),5)</f>
        <v>22791.85</v>
      </c>
      <c r="M20" s="11">
        <f>ROUND(SUM(M5:M19),5)</f>
        <v>27650</v>
      </c>
      <c r="N20" s="11">
        <f>ROUND(SUM(N5:N19),5)</f>
        <v>18000</v>
      </c>
    </row>
    <row r="21" spans="5:14" ht="30" customHeight="1">
      <c r="E21" s="6" t="s">
        <v>14</v>
      </c>
      <c r="J21" s="11"/>
      <c r="K21" s="11"/>
      <c r="L21" s="11"/>
      <c r="M21" s="11"/>
      <c r="N21" s="11"/>
    </row>
    <row r="22" spans="5:14">
      <c r="F22" s="6" t="s">
        <v>15</v>
      </c>
      <c r="J22" s="11">
        <v>127</v>
      </c>
      <c r="K22" s="11">
        <v>200</v>
      </c>
      <c r="L22" s="11">
        <v>286.25</v>
      </c>
      <c r="M22" s="11">
        <v>250</v>
      </c>
      <c r="N22" s="11">
        <v>250</v>
      </c>
    </row>
    <row r="23" spans="5:14" ht="15.75" thickBot="1">
      <c r="F23" s="6" t="s">
        <v>16</v>
      </c>
      <c r="J23" s="12">
        <v>153.25</v>
      </c>
      <c r="K23" s="12"/>
      <c r="L23" s="12"/>
      <c r="M23" s="12"/>
      <c r="N23" s="12"/>
    </row>
    <row r="24" spans="5:14">
      <c r="E24" s="6" t="s">
        <v>17</v>
      </c>
      <c r="J24" s="11">
        <f>ROUND(SUM(J21:J23),5)</f>
        <v>280.25</v>
      </c>
      <c r="K24" s="11">
        <f>ROUND(SUM(K21:K23),5)</f>
        <v>200</v>
      </c>
      <c r="L24" s="11">
        <f>ROUND(SUM(L21:L23),5)</f>
        <v>286.25</v>
      </c>
      <c r="M24" s="11">
        <f>ROUND(SUM(M21:M23),5)</f>
        <v>250</v>
      </c>
      <c r="N24" s="11">
        <f>ROUND(SUM(N21:N23),5)</f>
        <v>250</v>
      </c>
    </row>
    <row r="25" spans="5:14" ht="30" customHeight="1">
      <c r="E25" s="6" t="s">
        <v>18</v>
      </c>
      <c r="J25" s="11"/>
      <c r="K25" s="11"/>
      <c r="L25" s="11"/>
      <c r="M25" s="11"/>
      <c r="N25" s="11"/>
    </row>
    <row r="26" spans="5:14">
      <c r="F26" s="6" t="s">
        <v>19</v>
      </c>
      <c r="J26" s="11"/>
      <c r="K26" s="11"/>
      <c r="L26" s="11"/>
      <c r="M26" s="11"/>
      <c r="N26" s="11"/>
    </row>
    <row r="27" spans="5:14">
      <c r="G27" s="6" t="s">
        <v>20</v>
      </c>
      <c r="J27" s="11">
        <v>2902</v>
      </c>
      <c r="K27" s="11">
        <v>4000</v>
      </c>
      <c r="L27" s="11">
        <v>0</v>
      </c>
      <c r="M27" s="11"/>
      <c r="N27" s="11"/>
    </row>
    <row r="28" spans="5:14" ht="15.75" thickBot="1">
      <c r="G28" s="6" t="s">
        <v>21</v>
      </c>
      <c r="J28" s="13">
        <v>945</v>
      </c>
      <c r="K28" s="13">
        <v>1200</v>
      </c>
      <c r="L28" s="13">
        <v>0</v>
      </c>
      <c r="M28" s="13">
        <v>875</v>
      </c>
      <c r="N28" s="13">
        <v>0</v>
      </c>
    </row>
    <row r="29" spans="5:14" ht="15.75" thickBot="1">
      <c r="F29" s="6" t="s">
        <v>22</v>
      </c>
      <c r="J29" s="14">
        <f>ROUND(SUM(J26:J28),5)</f>
        <v>3847</v>
      </c>
      <c r="K29" s="14">
        <f>ROUND(SUM(K26:K28),5)</f>
        <v>5200</v>
      </c>
      <c r="L29" s="14">
        <f>ROUND(SUM(L26:L28),5)</f>
        <v>0</v>
      </c>
      <c r="M29" s="14">
        <f>ROUND(SUM(M26:M28),5)</f>
        <v>875</v>
      </c>
      <c r="N29" s="14">
        <f>ROUND(SUM(N26:N28),5)</f>
        <v>0</v>
      </c>
    </row>
    <row r="30" spans="5:14" ht="30" customHeight="1">
      <c r="E30" s="6" t="s">
        <v>23</v>
      </c>
      <c r="J30" s="11">
        <f>ROUND(J25+J29,5)</f>
        <v>3847</v>
      </c>
      <c r="K30" s="11">
        <f>ROUND(K25+K29,5)</f>
        <v>5200</v>
      </c>
      <c r="L30" s="11">
        <f>ROUND(L25+L29,5)</f>
        <v>0</v>
      </c>
      <c r="M30" s="11">
        <f>ROUND(M25+M29,5)</f>
        <v>875</v>
      </c>
      <c r="N30" s="11">
        <f>ROUND(N25+N29,5)</f>
        <v>0</v>
      </c>
    </row>
    <row r="31" spans="5:14" ht="30" customHeight="1">
      <c r="E31" s="6" t="s">
        <v>24</v>
      </c>
      <c r="J31" s="11">
        <v>-1272.52</v>
      </c>
      <c r="K31" s="11"/>
      <c r="L31" s="11">
        <v>14093.73</v>
      </c>
      <c r="M31" s="11"/>
      <c r="N31" s="11">
        <v>0</v>
      </c>
    </row>
    <row r="32" spans="5:14">
      <c r="E32" s="6" t="s">
        <v>25</v>
      </c>
      <c r="J32" s="11">
        <v>39489.269999999997</v>
      </c>
      <c r="K32" s="11"/>
      <c r="L32" s="11">
        <v>-1351.29</v>
      </c>
      <c r="M32" s="11"/>
      <c r="N32" s="11">
        <v>0</v>
      </c>
    </row>
    <row r="33" spans="5:14">
      <c r="E33" s="6" t="s">
        <v>26</v>
      </c>
      <c r="J33" s="11"/>
      <c r="K33" s="11"/>
      <c r="L33" s="11"/>
      <c r="M33" s="11"/>
      <c r="N33" s="11"/>
    </row>
    <row r="34" spans="5:14">
      <c r="F34" s="6" t="s">
        <v>179</v>
      </c>
      <c r="J34" s="11"/>
      <c r="K34" s="11"/>
      <c r="L34" s="11"/>
      <c r="M34" s="11">
        <v>10000</v>
      </c>
      <c r="N34" s="11">
        <v>0</v>
      </c>
    </row>
    <row r="35" spans="5:14">
      <c r="F35" s="6" t="s">
        <v>27</v>
      </c>
      <c r="J35" s="11"/>
      <c r="K35" s="11"/>
      <c r="L35" s="11"/>
      <c r="M35" s="11"/>
      <c r="N35" s="11"/>
    </row>
    <row r="36" spans="5:14">
      <c r="G36" s="6" t="s">
        <v>28</v>
      </c>
      <c r="J36" s="11">
        <v>0</v>
      </c>
      <c r="K36" s="11">
        <v>69000</v>
      </c>
      <c r="L36" s="11">
        <v>0</v>
      </c>
      <c r="M36" s="11"/>
      <c r="N36" s="11">
        <v>10000</v>
      </c>
    </row>
    <row r="37" spans="5:14">
      <c r="G37" s="6" t="s">
        <v>29</v>
      </c>
      <c r="J37" s="11">
        <v>145000</v>
      </c>
      <c r="K37" s="11"/>
      <c r="L37" s="11">
        <v>40000</v>
      </c>
      <c r="M37" s="11">
        <v>80000</v>
      </c>
      <c r="N37" s="11">
        <v>40000</v>
      </c>
    </row>
    <row r="38" spans="5:14">
      <c r="G38" s="6" t="s">
        <v>30</v>
      </c>
      <c r="J38" s="11">
        <v>4000</v>
      </c>
      <c r="K38" s="11"/>
      <c r="L38" s="11">
        <v>4000</v>
      </c>
      <c r="M38" s="11">
        <v>4000</v>
      </c>
      <c r="N38" s="11">
        <v>0</v>
      </c>
    </row>
    <row r="39" spans="5:14">
      <c r="G39" s="6" t="s">
        <v>249</v>
      </c>
      <c r="J39" s="11"/>
      <c r="K39" s="11"/>
      <c r="L39" s="11"/>
      <c r="M39" s="11">
        <v>3000</v>
      </c>
      <c r="N39" s="11">
        <v>10000</v>
      </c>
    </row>
    <row r="40" spans="5:14" ht="15.75" thickBot="1">
      <c r="G40" s="6" t="s">
        <v>31</v>
      </c>
      <c r="J40" s="12">
        <v>0</v>
      </c>
      <c r="K40" s="12">
        <v>30000</v>
      </c>
      <c r="L40" s="12">
        <v>0</v>
      </c>
      <c r="M40" s="12"/>
      <c r="N40" s="12">
        <v>0</v>
      </c>
    </row>
    <row r="41" spans="5:14">
      <c r="F41" s="6" t="s">
        <v>32</v>
      </c>
      <c r="J41" s="11">
        <f t="shared" ref="J41:M41" si="0">ROUND(SUM(J35:J40),5)</f>
        <v>149000</v>
      </c>
      <c r="K41" s="11">
        <f t="shared" si="0"/>
        <v>99000</v>
      </c>
      <c r="L41" s="11">
        <f t="shared" si="0"/>
        <v>44000</v>
      </c>
      <c r="M41" s="11">
        <f t="shared" si="0"/>
        <v>87000</v>
      </c>
      <c r="N41" s="11">
        <f>ROUND(SUM(N35:N40),5)</f>
        <v>60000</v>
      </c>
    </row>
    <row r="42" spans="5:14" ht="30" customHeight="1">
      <c r="F42" s="6" t="s">
        <v>33</v>
      </c>
      <c r="J42" s="11"/>
      <c r="K42" s="11"/>
      <c r="L42" s="11"/>
      <c r="M42" s="11"/>
      <c r="N42" s="11"/>
    </row>
    <row r="43" spans="5:14">
      <c r="G43" s="6" t="s">
        <v>265</v>
      </c>
      <c r="J43" s="11"/>
      <c r="K43" s="11"/>
      <c r="L43" s="11"/>
      <c r="M43" s="11"/>
      <c r="N43" s="11">
        <f>18000+6000+3000+((18750/2)*0.4)+6000+1000</f>
        <v>37750</v>
      </c>
    </row>
    <row r="44" spans="5:14">
      <c r="G44" s="6" t="s">
        <v>267</v>
      </c>
      <c r="J44" s="11"/>
      <c r="K44" s="11"/>
      <c r="L44" s="11"/>
      <c r="M44" s="11"/>
      <c r="N44" s="11">
        <v>14000</v>
      </c>
    </row>
    <row r="45" spans="5:14">
      <c r="G45" s="6" t="s">
        <v>34</v>
      </c>
      <c r="J45" s="11">
        <v>35604.089999999997</v>
      </c>
      <c r="K45" s="11">
        <v>37475</v>
      </c>
      <c r="L45" s="11">
        <v>21390.74</v>
      </c>
      <c r="M45" s="11">
        <v>14863</v>
      </c>
      <c r="N45" s="11">
        <v>0</v>
      </c>
    </row>
    <row r="46" spans="5:14" ht="15.75" thickBot="1">
      <c r="G46" s="6" t="s">
        <v>35</v>
      </c>
      <c r="J46" s="12">
        <v>2500</v>
      </c>
      <c r="K46" s="12"/>
      <c r="L46" s="12"/>
      <c r="M46" s="12"/>
      <c r="N46" s="12">
        <v>0</v>
      </c>
    </row>
    <row r="47" spans="5:14">
      <c r="F47" s="6" t="s">
        <v>36</v>
      </c>
      <c r="J47" s="11">
        <f>ROUND(SUM(J42:J46),5)</f>
        <v>38104.089999999997</v>
      </c>
      <c r="K47" s="11">
        <f>ROUND(SUM(K42:K46),5)</f>
        <v>37475</v>
      </c>
      <c r="L47" s="11">
        <f>ROUND(SUM(L42:L46),5)</f>
        <v>21390.74</v>
      </c>
      <c r="M47" s="11">
        <f>ROUND(SUM(M42:M46),5)</f>
        <v>14863</v>
      </c>
      <c r="N47" s="11">
        <f>ROUND(SUM(N42:N46),5)</f>
        <v>51750</v>
      </c>
    </row>
    <row r="48" spans="5:14">
      <c r="F48" s="6" t="s">
        <v>250</v>
      </c>
      <c r="J48" s="11"/>
      <c r="K48" s="11"/>
      <c r="L48" s="11">
        <v>250</v>
      </c>
      <c r="M48" s="11"/>
      <c r="N48" s="11">
        <v>0</v>
      </c>
    </row>
    <row r="49" spans="1:14">
      <c r="F49" s="6" t="s">
        <v>37</v>
      </c>
      <c r="J49" s="11"/>
      <c r="K49" s="11"/>
      <c r="L49" s="11"/>
      <c r="M49" s="11"/>
      <c r="N49" s="11"/>
    </row>
    <row r="50" spans="1:14">
      <c r="G50" s="6" t="s">
        <v>38</v>
      </c>
      <c r="J50" s="11">
        <v>3000</v>
      </c>
      <c r="K50" s="11">
        <v>2200</v>
      </c>
      <c r="L50" s="11">
        <v>3205.1</v>
      </c>
      <c r="M50" s="11">
        <v>3000</v>
      </c>
      <c r="N50" s="11">
        <v>3000</v>
      </c>
    </row>
    <row r="51" spans="1:14">
      <c r="G51" s="6" t="s">
        <v>39</v>
      </c>
      <c r="J51" s="11">
        <v>0</v>
      </c>
      <c r="K51" s="11">
        <v>100000</v>
      </c>
      <c r="L51" s="11">
        <v>0</v>
      </c>
      <c r="M51" s="11"/>
      <c r="N51" s="11">
        <v>0</v>
      </c>
    </row>
    <row r="52" spans="1:14" s="16" customFormat="1">
      <c r="A52" s="15"/>
      <c r="B52" s="15"/>
      <c r="C52" s="15"/>
      <c r="D52" s="15"/>
      <c r="E52" s="15"/>
      <c r="F52" s="15"/>
      <c r="G52" s="15" t="s">
        <v>40</v>
      </c>
      <c r="H52" s="15"/>
      <c r="I52" s="15"/>
      <c r="J52" s="13">
        <v>4600</v>
      </c>
      <c r="K52" s="13">
        <v>6000</v>
      </c>
      <c r="L52" s="13">
        <v>1900</v>
      </c>
      <c r="M52" s="13">
        <v>1900</v>
      </c>
      <c r="N52" s="13">
        <v>2100</v>
      </c>
    </row>
    <row r="53" spans="1:14" ht="15.75" thickBot="1">
      <c r="G53" s="6" t="s">
        <v>251</v>
      </c>
      <c r="J53" s="12">
        <v>4600</v>
      </c>
      <c r="K53" s="12">
        <v>6000</v>
      </c>
      <c r="L53" s="12">
        <v>1000</v>
      </c>
      <c r="M53" s="12"/>
      <c r="N53" s="12">
        <v>1000</v>
      </c>
    </row>
    <row r="54" spans="1:14">
      <c r="F54" s="6" t="s">
        <v>41</v>
      </c>
      <c r="J54" s="11">
        <f t="shared" ref="J54:N54" si="1">ROUND(SUM(J49:J53),5)</f>
        <v>12200</v>
      </c>
      <c r="K54" s="11">
        <f t="shared" si="1"/>
        <v>114200</v>
      </c>
      <c r="L54" s="11">
        <f t="shared" si="1"/>
        <v>6105.1</v>
      </c>
      <c r="M54" s="11">
        <f>ROUND(SUM(M49:M53),5)</f>
        <v>4900</v>
      </c>
      <c r="N54" s="11">
        <f t="shared" si="1"/>
        <v>6100</v>
      </c>
    </row>
    <row r="55" spans="1:14" ht="30" customHeight="1">
      <c r="F55" s="6" t="s">
        <v>276</v>
      </c>
      <c r="J55" s="11">
        <v>11850</v>
      </c>
      <c r="K55" s="11"/>
      <c r="L55" s="11"/>
      <c r="M55" s="11"/>
      <c r="N55" s="11">
        <v>8000</v>
      </c>
    </row>
    <row r="56" spans="1:14" ht="15.75" thickBot="1">
      <c r="F56" s="6" t="s">
        <v>42</v>
      </c>
      <c r="J56" s="12">
        <v>50</v>
      </c>
      <c r="K56" s="12"/>
      <c r="L56" s="12"/>
      <c r="M56" s="12">
        <v>1000</v>
      </c>
      <c r="N56" s="12">
        <v>0</v>
      </c>
    </row>
    <row r="57" spans="1:14">
      <c r="E57" s="6" t="s">
        <v>43</v>
      </c>
      <c r="J57" s="11">
        <f t="shared" ref="J57" si="2">ROUND(J33+J41+J47+J48+SUM(J54:J56),5)</f>
        <v>211204.09</v>
      </c>
      <c r="K57" s="11">
        <f t="shared" ref="K57" si="3">ROUND(K33+K41+K47+K48+SUM(K54:K56),5)</f>
        <v>250675</v>
      </c>
      <c r="L57" s="11">
        <f t="shared" ref="L57" si="4">ROUND(L33+L41+L47+L48+SUM(L54:L56),5)</f>
        <v>71745.84</v>
      </c>
      <c r="M57" s="11">
        <f t="shared" ref="M57" si="5">ROUND(M33+M41+M47+M48+SUM(M54:M56),5)</f>
        <v>107763</v>
      </c>
      <c r="N57" s="11">
        <f t="shared" ref="N57" si="6">ROUND(N33+N41+N47+N48+SUM(N54:N56),5)</f>
        <v>125850</v>
      </c>
    </row>
    <row r="58" spans="1:14" ht="30" customHeight="1">
      <c r="E58" s="6" t="s">
        <v>44</v>
      </c>
      <c r="J58" s="11"/>
      <c r="K58" s="11"/>
      <c r="L58" s="11"/>
      <c r="M58" s="11"/>
      <c r="N58" s="11"/>
    </row>
    <row r="59" spans="1:14">
      <c r="F59" s="6" t="s">
        <v>45</v>
      </c>
      <c r="J59" s="11">
        <v>0</v>
      </c>
      <c r="K59" s="11"/>
      <c r="L59" s="11">
        <v>10700.42</v>
      </c>
      <c r="M59" s="11">
        <v>8500</v>
      </c>
      <c r="N59" s="11">
        <v>9400</v>
      </c>
    </row>
    <row r="60" spans="1:14" ht="15.75" thickBot="1">
      <c r="F60" s="6" t="s">
        <v>46</v>
      </c>
      <c r="J60" s="12">
        <v>14931.76</v>
      </c>
      <c r="K60" s="12">
        <v>500</v>
      </c>
      <c r="L60" s="12">
        <v>1036.3499999999999</v>
      </c>
      <c r="M60" s="12">
        <v>80</v>
      </c>
      <c r="N60" s="12">
        <v>1000</v>
      </c>
    </row>
    <row r="61" spans="1:14">
      <c r="E61" s="6" t="s">
        <v>47</v>
      </c>
      <c r="J61" s="11">
        <f>ROUND(SUM(J58:J60),5)</f>
        <v>14931.76</v>
      </c>
      <c r="K61" s="11">
        <f>ROUND(SUM(K58:K60),5)</f>
        <v>500</v>
      </c>
      <c r="L61" s="11">
        <f>ROUND(SUM(L58:L60),5)</f>
        <v>11736.77</v>
      </c>
      <c r="M61" s="11">
        <f>ROUND(SUM(M58:M60),5)</f>
        <v>8580</v>
      </c>
      <c r="N61" s="11">
        <f>ROUND(SUM(N58:N60),5)</f>
        <v>10400</v>
      </c>
    </row>
    <row r="62" spans="1:14" ht="30" customHeight="1">
      <c r="E62" s="6" t="s">
        <v>48</v>
      </c>
      <c r="J62" s="11">
        <v>723</v>
      </c>
      <c r="K62" s="11">
        <v>7000</v>
      </c>
      <c r="L62" s="11">
        <v>0</v>
      </c>
      <c r="M62" s="11">
        <v>0</v>
      </c>
      <c r="N62" s="11">
        <v>0</v>
      </c>
    </row>
    <row r="63" spans="1:14">
      <c r="E63" s="6" t="s">
        <v>49</v>
      </c>
      <c r="J63" s="11"/>
      <c r="K63" s="11"/>
      <c r="L63" s="11"/>
      <c r="M63" s="11"/>
      <c r="N63" s="11"/>
    </row>
    <row r="64" spans="1:14">
      <c r="F64" s="6" t="s">
        <v>50</v>
      </c>
      <c r="J64" s="11">
        <v>1000</v>
      </c>
      <c r="K64" s="11">
        <v>1250</v>
      </c>
      <c r="L64" s="11">
        <v>1150</v>
      </c>
      <c r="M64" s="11">
        <v>2000</v>
      </c>
      <c r="N64" s="11">
        <v>2000</v>
      </c>
    </row>
    <row r="65" spans="5:14" ht="15.75" thickBot="1">
      <c r="F65" s="6" t="s">
        <v>51</v>
      </c>
      <c r="J65" s="12">
        <v>19763</v>
      </c>
      <c r="K65" s="12">
        <v>25000</v>
      </c>
      <c r="L65" s="12">
        <v>21630.06</v>
      </c>
      <c r="M65" s="12">
        <v>20000</v>
      </c>
      <c r="N65" s="12">
        <v>20000</v>
      </c>
    </row>
    <row r="66" spans="5:14">
      <c r="E66" s="6" t="s">
        <v>52</v>
      </c>
      <c r="J66" s="11">
        <f>ROUND(SUM(J63:J65),5)</f>
        <v>20763</v>
      </c>
      <c r="K66" s="11">
        <f t="shared" ref="K66:N66" si="7">ROUND(SUM(K63:K65),5)</f>
        <v>26250</v>
      </c>
      <c r="L66" s="11">
        <f t="shared" si="7"/>
        <v>22780.06</v>
      </c>
      <c r="M66" s="11">
        <f t="shared" si="7"/>
        <v>22000</v>
      </c>
      <c r="N66" s="11">
        <f t="shared" si="7"/>
        <v>22000</v>
      </c>
    </row>
    <row r="67" spans="5:14" ht="30" customHeight="1">
      <c r="E67" s="6" t="s">
        <v>53</v>
      </c>
      <c r="J67" s="11"/>
      <c r="K67" s="11"/>
      <c r="L67" s="11"/>
      <c r="M67" s="11"/>
      <c r="N67" s="11"/>
    </row>
    <row r="68" spans="5:14">
      <c r="F68" s="6" t="s">
        <v>54</v>
      </c>
      <c r="J68" s="11">
        <v>4385</v>
      </c>
      <c r="K68" s="11">
        <v>2500</v>
      </c>
      <c r="L68" s="11">
        <v>2470</v>
      </c>
      <c r="M68" s="11">
        <v>500</v>
      </c>
      <c r="N68" s="11">
        <v>2500</v>
      </c>
    </row>
    <row r="69" spans="5:14">
      <c r="F69" s="6" t="s">
        <v>252</v>
      </c>
      <c r="J69" s="11"/>
      <c r="K69" s="11"/>
      <c r="L69" s="11">
        <v>60</v>
      </c>
      <c r="M69" s="11">
        <v>2000</v>
      </c>
      <c r="N69" s="11">
        <v>0</v>
      </c>
    </row>
    <row r="70" spans="5:14">
      <c r="F70" s="6" t="s">
        <v>55</v>
      </c>
      <c r="J70" s="11"/>
      <c r="K70" s="11"/>
      <c r="L70" s="11"/>
      <c r="M70" s="11"/>
      <c r="N70" s="11"/>
    </row>
    <row r="71" spans="5:14">
      <c r="G71" s="6" t="s">
        <v>56</v>
      </c>
      <c r="J71" s="11">
        <v>0</v>
      </c>
      <c r="K71" s="11">
        <v>500</v>
      </c>
      <c r="L71" s="11"/>
      <c r="M71" s="11"/>
      <c r="N71" s="11">
        <v>2000</v>
      </c>
    </row>
    <row r="72" spans="5:14">
      <c r="G72" s="6" t="s">
        <v>57</v>
      </c>
      <c r="J72" s="11"/>
      <c r="K72" s="11"/>
      <c r="L72" s="11"/>
      <c r="M72" s="11"/>
      <c r="N72" s="11"/>
    </row>
    <row r="73" spans="5:14">
      <c r="H73" s="6" t="s">
        <v>58</v>
      </c>
      <c r="J73" s="11">
        <v>54.12</v>
      </c>
      <c r="K73" s="11">
        <v>35</v>
      </c>
      <c r="L73" s="11"/>
      <c r="M73" s="11"/>
      <c r="N73" s="11">
        <v>0</v>
      </c>
    </row>
    <row r="74" spans="5:14">
      <c r="H74" s="6" t="s">
        <v>59</v>
      </c>
      <c r="J74" s="11">
        <v>90</v>
      </c>
      <c r="K74" s="11">
        <v>125</v>
      </c>
      <c r="L74" s="11">
        <v>50</v>
      </c>
      <c r="M74" s="11">
        <v>300</v>
      </c>
      <c r="N74" s="11">
        <v>50</v>
      </c>
    </row>
    <row r="75" spans="5:14" ht="15.75" thickBot="1">
      <c r="H75" s="6" t="s">
        <v>60</v>
      </c>
      <c r="J75" s="12">
        <v>125</v>
      </c>
      <c r="K75" s="12">
        <v>170</v>
      </c>
      <c r="L75" s="12">
        <v>375</v>
      </c>
      <c r="M75" s="12">
        <v>200</v>
      </c>
      <c r="N75" s="12">
        <v>375</v>
      </c>
    </row>
    <row r="76" spans="5:14">
      <c r="G76" s="6" t="s">
        <v>61</v>
      </c>
      <c r="J76" s="11">
        <f>ROUND(SUM(J72:J75),5)</f>
        <v>269.12</v>
      </c>
      <c r="K76" s="11">
        <f t="shared" ref="K76:N76" si="8">ROUND(SUM(K72:K75),5)</f>
        <v>330</v>
      </c>
      <c r="L76" s="11">
        <f t="shared" si="8"/>
        <v>425</v>
      </c>
      <c r="M76" s="11">
        <f t="shared" si="8"/>
        <v>500</v>
      </c>
      <c r="N76" s="11">
        <f t="shared" si="8"/>
        <v>425</v>
      </c>
    </row>
    <row r="77" spans="5:14" ht="30" customHeight="1">
      <c r="G77" s="6" t="s">
        <v>62</v>
      </c>
      <c r="J77" s="11">
        <v>106</v>
      </c>
      <c r="K77" s="11"/>
      <c r="L77" s="11">
        <v>420</v>
      </c>
      <c r="M77" s="11"/>
      <c r="N77" s="11">
        <v>400</v>
      </c>
    </row>
    <row r="78" spans="5:14">
      <c r="G78" s="6" t="s">
        <v>63</v>
      </c>
      <c r="J78" s="11"/>
      <c r="K78" s="11"/>
      <c r="L78" s="11"/>
      <c r="M78" s="11"/>
      <c r="N78" s="11"/>
    </row>
    <row r="79" spans="5:14">
      <c r="H79" s="6" t="s">
        <v>64</v>
      </c>
      <c r="J79" s="11">
        <v>2550</v>
      </c>
      <c r="K79" s="11">
        <v>1000</v>
      </c>
      <c r="L79" s="11">
        <v>3573.8</v>
      </c>
      <c r="M79" s="11">
        <v>4500</v>
      </c>
      <c r="N79" s="11">
        <v>4500</v>
      </c>
    </row>
    <row r="80" spans="5:14" ht="15.75" thickBot="1">
      <c r="H80" s="6" t="s">
        <v>65</v>
      </c>
      <c r="J80" s="12">
        <v>890</v>
      </c>
      <c r="K80" s="12">
        <v>1000</v>
      </c>
      <c r="L80" s="12">
        <v>2920</v>
      </c>
      <c r="M80" s="12"/>
      <c r="N80" s="12">
        <v>3000</v>
      </c>
    </row>
    <row r="81" spans="5:14">
      <c r="G81" s="6" t="s">
        <v>66</v>
      </c>
      <c r="J81" s="11">
        <f>ROUND(SUM(J78:J80),5)</f>
        <v>3440</v>
      </c>
      <c r="K81" s="11">
        <f>ROUND(SUM(K78:K80),5)</f>
        <v>2000</v>
      </c>
      <c r="L81" s="11">
        <f>ROUND(SUM(L78:L80),5)</f>
        <v>6493.8</v>
      </c>
      <c r="M81" s="11">
        <f>ROUND(SUM(M78:M80),5)</f>
        <v>4500</v>
      </c>
      <c r="N81" s="11">
        <f>ROUND(SUM(N78:N80),5)</f>
        <v>7500</v>
      </c>
    </row>
    <row r="82" spans="5:14" ht="30" customHeight="1">
      <c r="G82" s="6" t="s">
        <v>67</v>
      </c>
      <c r="J82" s="13">
        <v>200</v>
      </c>
      <c r="K82" s="13">
        <v>100</v>
      </c>
      <c r="L82" s="13">
        <v>220</v>
      </c>
      <c r="M82" s="13">
        <v>100</v>
      </c>
      <c r="N82" s="13">
        <v>200</v>
      </c>
    </row>
    <row r="83" spans="5:14" ht="15.75" thickBot="1">
      <c r="G83" s="6" t="s">
        <v>253</v>
      </c>
      <c r="J83" s="13">
        <v>0</v>
      </c>
      <c r="K83" s="13">
        <v>0</v>
      </c>
      <c r="L83" s="13">
        <v>75</v>
      </c>
      <c r="M83" s="13"/>
      <c r="N83" s="13">
        <v>0</v>
      </c>
    </row>
    <row r="84" spans="5:14" ht="15.75" thickBot="1">
      <c r="F84" s="6" t="s">
        <v>68</v>
      </c>
      <c r="J84" s="14">
        <f>ROUND(SUM(J70:J71)+SUM(J76:J77)+SUM(J81:J83),5)</f>
        <v>4015.12</v>
      </c>
      <c r="K84" s="14">
        <f>ROUND(SUM(K70:K71)+SUM(K76:K77)+SUM(K81:K83),5)</f>
        <v>2930</v>
      </c>
      <c r="L84" s="14">
        <f>ROUND(SUM(L70:L71)+SUM(L76:L77)+SUM(L81:L83),5)</f>
        <v>7633.8</v>
      </c>
      <c r="M84" s="14">
        <f>ROUND(SUM(M70:M71)+SUM(M76:M77)+SUM(M81:M83),5)</f>
        <v>5100</v>
      </c>
      <c r="N84" s="14">
        <f>ROUND(SUM(N70:N71)+SUM(N76:N77)+SUM(N81:N83),5)</f>
        <v>10525</v>
      </c>
    </row>
    <row r="85" spans="5:14" ht="30" customHeight="1">
      <c r="E85" s="6" t="s">
        <v>69</v>
      </c>
      <c r="J85" s="11">
        <f>ROUND(SUM(J67:J68)+J84,5)</f>
        <v>8400.1200000000008</v>
      </c>
      <c r="K85" s="11">
        <f>ROUND(SUM(K67:K68)+K84,5)</f>
        <v>5430</v>
      </c>
      <c r="L85" s="11">
        <f>ROUND(SUM(L67:L69)+L84,5)</f>
        <v>10163.799999999999</v>
      </c>
      <c r="M85" s="11">
        <f>ROUND(SUM(M67:M69)+M84,5)</f>
        <v>7600</v>
      </c>
      <c r="N85" s="11">
        <f>ROUND(SUM(N67:N69)+N84,5)</f>
        <v>13025</v>
      </c>
    </row>
    <row r="86" spans="5:14" ht="30" customHeight="1">
      <c r="E86" s="6" t="s">
        <v>70</v>
      </c>
      <c r="J86" s="11"/>
      <c r="K86" s="11"/>
      <c r="L86" s="11"/>
      <c r="M86" s="11"/>
      <c r="N86" s="11"/>
    </row>
    <row r="87" spans="5:14">
      <c r="F87" s="6" t="s">
        <v>71</v>
      </c>
      <c r="J87" s="11">
        <v>115</v>
      </c>
      <c r="K87" s="11"/>
      <c r="L87" s="11">
        <v>15</v>
      </c>
      <c r="M87" s="11">
        <v>100</v>
      </c>
      <c r="N87" s="11">
        <v>15</v>
      </c>
    </row>
    <row r="88" spans="5:14">
      <c r="F88" s="6" t="s">
        <v>72</v>
      </c>
      <c r="J88" s="11">
        <v>70</v>
      </c>
      <c r="K88" s="11"/>
      <c r="L88" s="11">
        <v>25</v>
      </c>
      <c r="M88" s="11">
        <v>70</v>
      </c>
      <c r="N88" s="11">
        <v>25</v>
      </c>
    </row>
    <row r="89" spans="5:14">
      <c r="F89" s="6" t="s">
        <v>73</v>
      </c>
      <c r="J89" s="11">
        <v>92.6</v>
      </c>
      <c r="K89" s="11"/>
      <c r="L89" s="11">
        <v>48.8</v>
      </c>
      <c r="M89" s="11">
        <v>70</v>
      </c>
      <c r="N89" s="11">
        <v>50</v>
      </c>
    </row>
    <row r="90" spans="5:14">
      <c r="F90" s="6" t="s">
        <v>74</v>
      </c>
      <c r="J90" s="11">
        <v>15</v>
      </c>
      <c r="K90" s="11"/>
      <c r="L90" s="11">
        <v>48.95</v>
      </c>
      <c r="M90" s="11">
        <v>75</v>
      </c>
      <c r="N90" s="11">
        <v>50</v>
      </c>
    </row>
    <row r="91" spans="5:14">
      <c r="F91" s="6" t="s">
        <v>75</v>
      </c>
      <c r="J91" s="11">
        <v>95</v>
      </c>
      <c r="K91" s="11"/>
      <c r="L91" s="11">
        <v>70</v>
      </c>
      <c r="M91" s="11">
        <v>125</v>
      </c>
      <c r="N91" s="11">
        <v>70</v>
      </c>
    </row>
    <row r="92" spans="5:14">
      <c r="F92" s="6" t="s">
        <v>76</v>
      </c>
      <c r="J92" s="11">
        <v>680</v>
      </c>
      <c r="K92" s="11"/>
      <c r="L92" s="11">
        <v>515</v>
      </c>
      <c r="M92" s="11">
        <v>700</v>
      </c>
      <c r="N92" s="11">
        <v>500</v>
      </c>
    </row>
    <row r="93" spans="5:14">
      <c r="F93" s="6" t="s">
        <v>77</v>
      </c>
      <c r="J93" s="11">
        <v>61</v>
      </c>
      <c r="K93" s="11"/>
      <c r="L93" s="11"/>
      <c r="M93" s="11">
        <v>50</v>
      </c>
      <c r="N93" s="11">
        <v>50</v>
      </c>
    </row>
    <row r="94" spans="5:14" ht="15.75" thickBot="1">
      <c r="F94" s="6" t="s">
        <v>78</v>
      </c>
      <c r="J94" s="12">
        <v>0</v>
      </c>
      <c r="K94" s="12">
        <v>1000</v>
      </c>
      <c r="L94" s="12">
        <v>61.6</v>
      </c>
      <c r="M94" s="12"/>
      <c r="N94" s="12"/>
    </row>
    <row r="95" spans="5:14">
      <c r="E95" s="6" t="s">
        <v>79</v>
      </c>
      <c r="J95" s="11">
        <f>ROUND(SUM(J86:J94),5)</f>
        <v>1128.5999999999999</v>
      </c>
      <c r="K95" s="11">
        <f>ROUND(SUM(K86:K94),5)</f>
        <v>1000</v>
      </c>
      <c r="L95" s="11">
        <f>ROUND(SUM(L86:L94),5)</f>
        <v>784.35</v>
      </c>
      <c r="M95" s="11">
        <f t="shared" ref="M95:N95" si="9">ROUND(SUM(M86:M94),5)</f>
        <v>1190</v>
      </c>
      <c r="N95" s="11">
        <f t="shared" si="9"/>
        <v>760</v>
      </c>
    </row>
    <row r="96" spans="5:14" ht="30" customHeight="1">
      <c r="E96" s="6" t="s">
        <v>80</v>
      </c>
      <c r="J96" s="11"/>
      <c r="K96" s="11"/>
      <c r="L96" s="11"/>
      <c r="M96" s="11"/>
      <c r="N96" s="11"/>
    </row>
    <row r="97" spans="6:14">
      <c r="F97" s="6" t="s">
        <v>81</v>
      </c>
      <c r="J97" s="11"/>
      <c r="K97" s="11"/>
      <c r="L97" s="11"/>
      <c r="M97" s="11"/>
      <c r="N97" s="11"/>
    </row>
    <row r="98" spans="6:14">
      <c r="G98" s="6" t="s">
        <v>82</v>
      </c>
      <c r="J98" s="11">
        <v>813.95</v>
      </c>
      <c r="K98" s="11"/>
      <c r="L98" s="11">
        <v>813.95</v>
      </c>
      <c r="M98" s="11"/>
      <c r="N98" s="11"/>
    </row>
    <row r="99" spans="6:14">
      <c r="G99" s="6" t="s">
        <v>83</v>
      </c>
      <c r="J99" s="11">
        <v>11486.76</v>
      </c>
      <c r="K99" s="11">
        <v>14000</v>
      </c>
      <c r="L99" s="11"/>
      <c r="M99" s="11"/>
      <c r="N99" s="11"/>
    </row>
    <row r="100" spans="6:14">
      <c r="G100" s="6" t="s">
        <v>84</v>
      </c>
      <c r="J100" s="11">
        <v>175</v>
      </c>
      <c r="K100" s="11"/>
      <c r="L100" s="11"/>
      <c r="M100" s="11"/>
      <c r="N100" s="11"/>
    </row>
    <row r="101" spans="6:14">
      <c r="G101" s="6" t="s">
        <v>85</v>
      </c>
      <c r="J101" s="11"/>
      <c r="K101" s="11"/>
      <c r="L101" s="11"/>
      <c r="M101" s="11"/>
      <c r="N101" s="11"/>
    </row>
    <row r="102" spans="6:14">
      <c r="H102" s="6" t="s">
        <v>86</v>
      </c>
      <c r="J102" s="11">
        <v>2346.9499999999998</v>
      </c>
      <c r="K102" s="11"/>
      <c r="L102" s="11"/>
      <c r="M102" s="11"/>
      <c r="N102" s="11"/>
    </row>
    <row r="103" spans="6:14">
      <c r="H103" s="6" t="s">
        <v>87</v>
      </c>
      <c r="J103" s="11">
        <v>10875.37</v>
      </c>
      <c r="K103" s="11"/>
      <c r="L103" s="11"/>
      <c r="M103" s="11"/>
      <c r="N103" s="11"/>
    </row>
    <row r="104" spans="6:14">
      <c r="H104" s="6" t="s">
        <v>88</v>
      </c>
      <c r="J104" s="11">
        <v>13155.68</v>
      </c>
      <c r="K104" s="11"/>
      <c r="L104" s="11"/>
      <c r="M104" s="11"/>
      <c r="N104" s="11"/>
    </row>
    <row r="105" spans="6:14" ht="15.75" thickBot="1">
      <c r="H105" s="6" t="s">
        <v>89</v>
      </c>
      <c r="J105" s="12">
        <v>57</v>
      </c>
      <c r="K105" s="12"/>
      <c r="L105" s="12"/>
      <c r="M105" s="12"/>
      <c r="N105" s="12"/>
    </row>
    <row r="106" spans="6:14">
      <c r="G106" s="6" t="s">
        <v>90</v>
      </c>
      <c r="J106" s="11">
        <f>ROUND(SUM(J101:J105),5)</f>
        <v>26435</v>
      </c>
      <c r="K106" s="11">
        <f>ROUND(SUM(K101:K105),5)</f>
        <v>0</v>
      </c>
      <c r="L106" s="11">
        <f>ROUND(SUM(L101:L105),5)</f>
        <v>0</v>
      </c>
      <c r="M106" s="11">
        <f t="shared" ref="M106:N106" si="10">ROUND(SUM(M101:M105),5)</f>
        <v>0</v>
      </c>
      <c r="N106" s="11">
        <f t="shared" si="10"/>
        <v>0</v>
      </c>
    </row>
    <row r="107" spans="6:14" ht="30" customHeight="1">
      <c r="G107" s="6" t="s">
        <v>91</v>
      </c>
      <c r="J107" s="11"/>
      <c r="K107" s="11"/>
      <c r="L107" s="11"/>
      <c r="M107" s="11"/>
      <c r="N107" s="11"/>
    </row>
    <row r="108" spans="6:14">
      <c r="H108" s="6" t="s">
        <v>92</v>
      </c>
      <c r="J108" s="11">
        <v>52</v>
      </c>
      <c r="K108" s="11"/>
      <c r="L108" s="11"/>
      <c r="M108" s="11"/>
      <c r="N108" s="11"/>
    </row>
    <row r="109" spans="6:14">
      <c r="H109" s="6" t="s">
        <v>93</v>
      </c>
      <c r="J109" s="11">
        <v>89841.2</v>
      </c>
      <c r="K109" s="11"/>
      <c r="L109" s="11">
        <v>5510.65</v>
      </c>
      <c r="M109" s="11"/>
      <c r="N109" s="11"/>
    </row>
    <row r="110" spans="6:14">
      <c r="H110" s="6" t="s">
        <v>94</v>
      </c>
      <c r="J110" s="11">
        <v>521503.61</v>
      </c>
      <c r="K110" s="11"/>
      <c r="L110" s="11">
        <v>202075.55</v>
      </c>
      <c r="M110" s="11"/>
      <c r="N110" s="11"/>
    </row>
    <row r="111" spans="6:14" ht="15.75" thickBot="1">
      <c r="H111" s="6" t="s">
        <v>95</v>
      </c>
      <c r="J111" s="12">
        <v>191412.79</v>
      </c>
      <c r="K111" s="12"/>
      <c r="L111" s="12"/>
      <c r="M111" s="12"/>
      <c r="N111" s="12"/>
    </row>
    <row r="112" spans="6:14">
      <c r="G112" s="6" t="s">
        <v>96</v>
      </c>
      <c r="J112" s="11">
        <f>ROUND(SUM(J107:J111),5)</f>
        <v>802809.6</v>
      </c>
      <c r="K112" s="11">
        <f>ROUND(SUM(K107:K111),5)</f>
        <v>0</v>
      </c>
      <c r="L112" s="11">
        <f>ROUND(SUM(L107:L111),5)</f>
        <v>207586.2</v>
      </c>
      <c r="M112" s="11">
        <v>278443</v>
      </c>
      <c r="N112" s="11">
        <f>ROUND(SUM(N107:N111),5)</f>
        <v>0</v>
      </c>
    </row>
    <row r="113" spans="4:14" ht="30" customHeight="1">
      <c r="G113" s="6" t="s">
        <v>97</v>
      </c>
      <c r="J113" s="11"/>
      <c r="K113" s="11"/>
      <c r="L113" s="11"/>
      <c r="M113" s="11"/>
      <c r="N113" s="11"/>
    </row>
    <row r="114" spans="4:14">
      <c r="H114" s="6" t="s">
        <v>98</v>
      </c>
      <c r="J114" s="11">
        <v>39326.76</v>
      </c>
      <c r="K114" s="11"/>
      <c r="L114" s="11"/>
      <c r="M114" s="11"/>
      <c r="N114" s="11"/>
    </row>
    <row r="115" spans="4:14" ht="15.75" thickBot="1">
      <c r="H115" s="6" t="s">
        <v>99</v>
      </c>
      <c r="J115" s="12">
        <v>171.75</v>
      </c>
      <c r="K115" s="12"/>
      <c r="L115" s="12"/>
      <c r="M115" s="12"/>
      <c r="N115" s="12"/>
    </row>
    <row r="116" spans="4:14">
      <c r="G116" s="6" t="s">
        <v>100</v>
      </c>
      <c r="J116" s="11">
        <f>ROUND(SUM(J113:J115),5)</f>
        <v>39498.51</v>
      </c>
      <c r="K116" s="11">
        <f t="shared" ref="K116:N116" si="11">ROUND(SUM(K113:K115),5)</f>
        <v>0</v>
      </c>
      <c r="L116" s="11">
        <f t="shared" si="11"/>
        <v>0</v>
      </c>
      <c r="M116" s="11">
        <v>1000</v>
      </c>
      <c r="N116" s="11">
        <f t="shared" si="11"/>
        <v>0</v>
      </c>
    </row>
    <row r="117" spans="4:14" ht="30" customHeight="1">
      <c r="G117" s="6" t="s">
        <v>101</v>
      </c>
      <c r="J117" s="11">
        <v>16680</v>
      </c>
      <c r="K117" s="11">
        <v>23000</v>
      </c>
      <c r="L117" s="11">
        <v>4795</v>
      </c>
      <c r="M117" s="11">
        <v>13360</v>
      </c>
      <c r="N117" s="11">
        <v>2000</v>
      </c>
    </row>
    <row r="118" spans="4:14" ht="15.75" thickBot="1">
      <c r="G118" s="6" t="s">
        <v>102</v>
      </c>
      <c r="J118" s="13">
        <v>346.99</v>
      </c>
      <c r="K118" s="13"/>
      <c r="L118" s="13">
        <v>145.05000000000001</v>
      </c>
      <c r="M118" s="13"/>
      <c r="N118" s="13"/>
    </row>
    <row r="119" spans="4:14" ht="15.75" thickBot="1">
      <c r="F119" s="6" t="s">
        <v>103</v>
      </c>
      <c r="J119" s="17">
        <f>ROUND(SUM(J97:J100)+J106+J112+SUM(J116:J118),5)</f>
        <v>898245.81</v>
      </c>
      <c r="K119" s="17">
        <f>ROUND(SUM(K97:K100)+K106+K112+SUM(K116:K118),5)</f>
        <v>37000</v>
      </c>
      <c r="L119" s="17">
        <f>ROUND(SUM(L97:L100)+L106+L112+SUM(L116:L118),5)</f>
        <v>213340.2</v>
      </c>
      <c r="M119" s="17">
        <f>ROUND(SUM(M97:M100)+M106+M112+SUM(M116:M118),5)</f>
        <v>292803</v>
      </c>
      <c r="N119" s="17">
        <f>ROUND(SUM(N97:N100)+N106+N112+SUM(N116:N118),5)</f>
        <v>2000</v>
      </c>
    </row>
    <row r="120" spans="4:14" ht="15.75" thickBot="1">
      <c r="F120" s="6" t="s">
        <v>277</v>
      </c>
      <c r="J120" s="17"/>
      <c r="K120" s="17"/>
      <c r="L120" s="17">
        <v>1600</v>
      </c>
      <c r="M120" s="17"/>
      <c r="N120" s="17">
        <f>500*52</f>
        <v>26000</v>
      </c>
    </row>
    <row r="121" spans="4:14" ht="30" customHeight="1" thickBot="1">
      <c r="E121" s="6" t="s">
        <v>104</v>
      </c>
      <c r="J121" s="14">
        <f t="shared" ref="J121:M121" si="12">ROUND(J96+J119+J120,5)</f>
        <v>898245.81</v>
      </c>
      <c r="K121" s="14">
        <f t="shared" si="12"/>
        <v>37000</v>
      </c>
      <c r="L121" s="14">
        <f t="shared" si="12"/>
        <v>214940.2</v>
      </c>
      <c r="M121" s="14">
        <f t="shared" si="12"/>
        <v>292803</v>
      </c>
      <c r="N121" s="14">
        <f>ROUND(N96+N119+N120,5)</f>
        <v>28000</v>
      </c>
    </row>
    <row r="122" spans="4:14" ht="30" customHeight="1">
      <c r="D122" s="6" t="s">
        <v>105</v>
      </c>
      <c r="J122" s="11">
        <f>ROUND(J4+J20+J24+SUM(J30:J32)+J57+SUM(J61:J62)+J66+J85+J95+J121,5)</f>
        <v>1205455.6499999999</v>
      </c>
      <c r="K122" s="11">
        <f>ROUND(K4+K20+K24+SUM(K30:K32)+K57+SUM(K61:K62)+K66+K85+K95+K121,5)</f>
        <v>357355</v>
      </c>
      <c r="L122" s="11">
        <f>ROUND(L4+L20+L24+SUM(L30:L32)+L57+SUM(L61:L62)+L66+L85+L95+L121,5)</f>
        <v>367971.56</v>
      </c>
      <c r="M122" s="11">
        <f>ROUND(M4+M20+M24+SUM(M30:M32)+M57+SUM(M61:M62)+M66+M85+M95+M121,5)</f>
        <v>468711</v>
      </c>
      <c r="N122" s="11">
        <f>ROUND(N4+N20+N24+SUM(N30:N32)+N57+SUM(N61:N62)+N66+N85+N95+N121,5)</f>
        <v>218285</v>
      </c>
    </row>
    <row r="123" spans="4:14" ht="30" customHeight="1">
      <c r="D123" s="6" t="s">
        <v>106</v>
      </c>
      <c r="J123" s="11"/>
      <c r="K123" s="11"/>
      <c r="L123" s="11"/>
      <c r="M123" s="11"/>
      <c r="N123" s="11"/>
    </row>
    <row r="124" spans="4:14">
      <c r="E124" s="6" t="s">
        <v>107</v>
      </c>
      <c r="J124" s="11">
        <v>1.43</v>
      </c>
      <c r="K124" s="11"/>
      <c r="L124" s="11"/>
      <c r="M124" s="11"/>
      <c r="N124" s="11">
        <v>0</v>
      </c>
    </row>
    <row r="125" spans="4:14">
      <c r="E125" s="6" t="s">
        <v>108</v>
      </c>
      <c r="J125" s="11">
        <v>6628.03</v>
      </c>
      <c r="K125" s="11"/>
      <c r="L125" s="11"/>
      <c r="M125" s="11"/>
      <c r="N125" s="11">
        <v>0</v>
      </c>
    </row>
    <row r="126" spans="4:14">
      <c r="E126" s="6" t="s">
        <v>109</v>
      </c>
      <c r="J126" s="11">
        <v>-6071.05</v>
      </c>
      <c r="K126" s="11"/>
      <c r="L126" s="11"/>
      <c r="M126" s="11"/>
      <c r="N126" s="11">
        <v>0</v>
      </c>
    </row>
    <row r="127" spans="4:14">
      <c r="E127" s="6" t="s">
        <v>110</v>
      </c>
      <c r="J127" s="11">
        <v>0</v>
      </c>
      <c r="K127" s="11">
        <v>500</v>
      </c>
      <c r="L127" s="11">
        <v>0</v>
      </c>
      <c r="M127" s="11"/>
      <c r="N127" s="11">
        <v>0</v>
      </c>
    </row>
    <row r="128" spans="4:14">
      <c r="E128" s="6" t="s">
        <v>111</v>
      </c>
      <c r="J128" s="11">
        <v>7.26</v>
      </c>
      <c r="K128" s="11"/>
      <c r="L128" s="11"/>
      <c r="M128" s="11"/>
      <c r="N128" s="11">
        <v>0</v>
      </c>
    </row>
    <row r="129" spans="3:14" ht="15.75" thickBot="1">
      <c r="E129" s="6" t="s">
        <v>112</v>
      </c>
      <c r="J129" s="13">
        <v>73.55</v>
      </c>
      <c r="K129" s="13"/>
      <c r="L129" s="13"/>
      <c r="M129" s="13"/>
      <c r="N129" s="13">
        <v>0</v>
      </c>
    </row>
    <row r="130" spans="3:14" ht="15.75" thickBot="1">
      <c r="D130" s="6" t="s">
        <v>113</v>
      </c>
      <c r="J130" s="14">
        <f>ROUND(SUM(J123:J129),5)</f>
        <v>639.22</v>
      </c>
      <c r="K130" s="14">
        <f>ROUND(SUM(K123:K129),5)</f>
        <v>500</v>
      </c>
      <c r="L130" s="14">
        <f>ROUND(SUM(L123:L129),5)</f>
        <v>0</v>
      </c>
      <c r="M130" s="14">
        <f>ROUND(SUM(M123:M129),5)</f>
        <v>0</v>
      </c>
      <c r="N130" s="14">
        <f>ROUND(SUM(N123:N129),5)</f>
        <v>0</v>
      </c>
    </row>
    <row r="131" spans="3:14" ht="30" customHeight="1">
      <c r="C131" s="6" t="s">
        <v>114</v>
      </c>
      <c r="J131" s="11">
        <f>ROUND(J122-J130,5)</f>
        <v>1204816.43</v>
      </c>
      <c r="K131" s="11">
        <f>ROUND(K122-K130,5)</f>
        <v>356855</v>
      </c>
      <c r="L131" s="11">
        <f>ROUND(L122-L130,5)</f>
        <v>367971.56</v>
      </c>
      <c r="M131" s="11">
        <f>ROUND(M122-M130,5)</f>
        <v>468711</v>
      </c>
      <c r="N131" s="11">
        <f>ROUND(N122-N130,5)</f>
        <v>218285</v>
      </c>
    </row>
    <row r="132" spans="3:14" ht="30" customHeight="1">
      <c r="D132" s="6" t="s">
        <v>115</v>
      </c>
      <c r="J132" s="11"/>
      <c r="K132" s="11"/>
      <c r="L132" s="11"/>
      <c r="M132" s="11"/>
      <c r="N132" s="11"/>
    </row>
    <row r="133" spans="3:14">
      <c r="E133" s="6" t="s">
        <v>116</v>
      </c>
      <c r="J133" s="11"/>
      <c r="K133" s="11"/>
      <c r="L133" s="11"/>
      <c r="M133" s="11"/>
      <c r="N133" s="11"/>
    </row>
    <row r="134" spans="3:14">
      <c r="F134" s="6" t="s">
        <v>117</v>
      </c>
      <c r="J134" s="11"/>
      <c r="K134" s="11"/>
      <c r="L134" s="11"/>
      <c r="M134" s="11"/>
      <c r="N134" s="11"/>
    </row>
    <row r="135" spans="3:14">
      <c r="G135" s="6" t="s">
        <v>118</v>
      </c>
      <c r="J135" s="11">
        <v>-1000</v>
      </c>
      <c r="K135" s="11">
        <v>-2000</v>
      </c>
      <c r="L135" s="11">
        <v>0</v>
      </c>
      <c r="M135" s="11"/>
      <c r="N135" s="11"/>
    </row>
    <row r="136" spans="3:14">
      <c r="G136" s="6" t="s">
        <v>119</v>
      </c>
      <c r="J136" s="11">
        <v>0</v>
      </c>
      <c r="K136" s="11">
        <v>-2250</v>
      </c>
      <c r="L136" s="11">
        <v>0</v>
      </c>
      <c r="M136" s="11"/>
      <c r="N136" s="11"/>
    </row>
    <row r="137" spans="3:14">
      <c r="G137" s="6" t="s">
        <v>120</v>
      </c>
      <c r="J137" s="11">
        <v>1000</v>
      </c>
      <c r="K137" s="11">
        <v>1000</v>
      </c>
      <c r="L137" s="11">
        <v>1625</v>
      </c>
      <c r="M137" s="11">
        <v>2000</v>
      </c>
      <c r="N137" s="11">
        <v>2000</v>
      </c>
    </row>
    <row r="138" spans="3:14" ht="15.75" thickBot="1">
      <c r="G138" s="6" t="s">
        <v>121</v>
      </c>
      <c r="J138" s="12">
        <v>11055</v>
      </c>
      <c r="K138" s="12">
        <v>12500</v>
      </c>
      <c r="L138" s="12">
        <v>11750</v>
      </c>
      <c r="M138" s="12">
        <v>10000</v>
      </c>
      <c r="N138" s="12">
        <v>12000</v>
      </c>
    </row>
    <row r="139" spans="3:14">
      <c r="F139" s="6" t="s">
        <v>122</v>
      </c>
      <c r="J139" s="11">
        <f>ROUND(SUM(J134:J138),5)</f>
        <v>11055</v>
      </c>
      <c r="K139" s="11">
        <f>ROUND(SUM(K134:K138),5)</f>
        <v>9250</v>
      </c>
      <c r="L139" s="11">
        <f>ROUND(SUM(L134:L138),5)</f>
        <v>13375</v>
      </c>
      <c r="M139" s="11">
        <f>ROUND(SUM(M134:M138),5)</f>
        <v>12000</v>
      </c>
      <c r="N139" s="11">
        <f>ROUND(SUM(N134:N138),5)</f>
        <v>14000</v>
      </c>
    </row>
    <row r="140" spans="3:14" ht="30" customHeight="1">
      <c r="F140" s="6" t="s">
        <v>123</v>
      </c>
      <c r="J140" s="11">
        <v>743.17</v>
      </c>
      <c r="K140" s="11">
        <v>750</v>
      </c>
      <c r="L140" s="11">
        <v>697.86</v>
      </c>
      <c r="M140" s="11">
        <v>700</v>
      </c>
      <c r="N140" s="11">
        <v>700</v>
      </c>
    </row>
    <row r="141" spans="3:14">
      <c r="F141" s="6" t="s">
        <v>124</v>
      </c>
      <c r="J141" s="11">
        <v>0</v>
      </c>
      <c r="K141" s="11"/>
      <c r="L141" s="11"/>
      <c r="M141" s="11"/>
      <c r="N141" s="11"/>
    </row>
    <row r="142" spans="3:14">
      <c r="F142" s="6" t="s">
        <v>296</v>
      </c>
      <c r="J142" s="11"/>
      <c r="K142" s="11"/>
      <c r="L142" s="11">
        <v>50</v>
      </c>
      <c r="M142" s="11"/>
      <c r="N142" s="11"/>
    </row>
    <row r="143" spans="3:14">
      <c r="F143" s="6" t="s">
        <v>125</v>
      </c>
      <c r="J143" s="11">
        <v>14922</v>
      </c>
      <c r="K143" s="11">
        <v>11109</v>
      </c>
      <c r="L143" s="11">
        <v>15731.84</v>
      </c>
      <c r="M143" s="11">
        <v>14500</v>
      </c>
      <c r="N143" s="11">
        <v>14500</v>
      </c>
    </row>
    <row r="144" spans="3:14">
      <c r="F144" s="6" t="s">
        <v>126</v>
      </c>
      <c r="J144" s="11">
        <v>473</v>
      </c>
      <c r="K144" s="11">
        <v>500</v>
      </c>
      <c r="L144" s="11">
        <v>558</v>
      </c>
      <c r="M144" s="11">
        <v>500</v>
      </c>
      <c r="N144" s="11">
        <v>500</v>
      </c>
    </row>
    <row r="145" spans="6:14">
      <c r="F145" s="6" t="s">
        <v>127</v>
      </c>
      <c r="J145" s="11">
        <v>852.48</v>
      </c>
      <c r="K145" s="11">
        <v>650</v>
      </c>
      <c r="L145" s="11">
        <v>828.14</v>
      </c>
      <c r="M145" s="11">
        <v>800</v>
      </c>
      <c r="N145" s="11">
        <v>1000</v>
      </c>
    </row>
    <row r="146" spans="6:14">
      <c r="F146" s="6" t="s">
        <v>128</v>
      </c>
      <c r="J146" s="11">
        <v>923.22</v>
      </c>
      <c r="K146" s="11">
        <v>500</v>
      </c>
      <c r="L146" s="11">
        <v>0</v>
      </c>
      <c r="M146" s="11">
        <v>1000</v>
      </c>
      <c r="N146" s="11">
        <v>0</v>
      </c>
    </row>
    <row r="147" spans="6:14">
      <c r="F147" s="6" t="s">
        <v>129</v>
      </c>
      <c r="J147" s="11">
        <v>2136.83</v>
      </c>
      <c r="K147" s="11">
        <v>1300</v>
      </c>
      <c r="L147" s="11">
        <v>537.87</v>
      </c>
      <c r="M147" s="11">
        <v>2000</v>
      </c>
      <c r="N147" s="11">
        <v>1000</v>
      </c>
    </row>
    <row r="148" spans="6:14">
      <c r="F148" s="6" t="s">
        <v>130</v>
      </c>
      <c r="J148" s="11">
        <v>3964.44</v>
      </c>
      <c r="K148" s="11">
        <v>3200</v>
      </c>
      <c r="L148" s="11">
        <v>4002.73</v>
      </c>
      <c r="M148" s="11">
        <v>4000</v>
      </c>
      <c r="N148" s="11">
        <v>4000</v>
      </c>
    </row>
    <row r="149" spans="6:14">
      <c r="F149" s="6" t="s">
        <v>131</v>
      </c>
      <c r="J149" s="11"/>
      <c r="K149" s="11"/>
      <c r="L149" s="11"/>
      <c r="M149" s="11"/>
      <c r="N149" s="11"/>
    </row>
    <row r="150" spans="6:14">
      <c r="G150" s="6" t="s">
        <v>132</v>
      </c>
      <c r="J150" s="11">
        <v>275.88</v>
      </c>
      <c r="K150" s="11">
        <v>525</v>
      </c>
      <c r="L150" s="11"/>
      <c r="M150" s="11">
        <v>300</v>
      </c>
      <c r="N150" s="11">
        <v>300</v>
      </c>
    </row>
    <row r="151" spans="6:14">
      <c r="G151" s="6" t="s">
        <v>133</v>
      </c>
      <c r="J151" s="11">
        <v>255</v>
      </c>
      <c r="K151" s="11">
        <v>500</v>
      </c>
      <c r="L151" s="11">
        <v>255</v>
      </c>
      <c r="M151" s="11">
        <v>1000</v>
      </c>
      <c r="N151" s="11">
        <v>1000</v>
      </c>
    </row>
    <row r="152" spans="6:14" ht="15.75" thickBot="1">
      <c r="G152" s="6" t="s">
        <v>134</v>
      </c>
      <c r="J152" s="12">
        <v>639.96</v>
      </c>
      <c r="K152" s="12">
        <v>420</v>
      </c>
      <c r="L152" s="12">
        <v>1223.8800000000001</v>
      </c>
      <c r="M152" s="12">
        <v>1300</v>
      </c>
      <c r="N152" s="12">
        <v>0</v>
      </c>
    </row>
    <row r="153" spans="6:14">
      <c r="F153" s="6" t="s">
        <v>135</v>
      </c>
      <c r="J153" s="11">
        <f>ROUND(SUM(J149:J152),5)</f>
        <v>1170.8399999999999</v>
      </c>
      <c r="K153" s="11">
        <f>ROUND(SUM(K149:K152),5)</f>
        <v>1445</v>
      </c>
      <c r="L153" s="11">
        <f>ROUND(SUM(L149:L152),5)</f>
        <v>1478.88</v>
      </c>
      <c r="M153" s="11">
        <f>ROUND(SUM(M149:M152),5)</f>
        <v>2600</v>
      </c>
      <c r="N153" s="11">
        <f>ROUND(SUM(N149:N152),5)</f>
        <v>1300</v>
      </c>
    </row>
    <row r="154" spans="6:14" ht="30" customHeight="1">
      <c r="F154" s="6" t="s">
        <v>136</v>
      </c>
      <c r="J154" s="11">
        <v>30</v>
      </c>
      <c r="K154" s="11">
        <v>30</v>
      </c>
      <c r="L154" s="11">
        <v>191</v>
      </c>
      <c r="M154" s="11">
        <v>30</v>
      </c>
      <c r="N154" s="11">
        <v>200</v>
      </c>
    </row>
    <row r="155" spans="6:14">
      <c r="F155" s="6" t="s">
        <v>137</v>
      </c>
      <c r="J155" s="11">
        <v>24.26</v>
      </c>
      <c r="K155" s="11">
        <v>100</v>
      </c>
      <c r="L155" s="11">
        <v>70.62</v>
      </c>
      <c r="M155" s="11"/>
      <c r="N155" s="11">
        <v>100</v>
      </c>
    </row>
    <row r="156" spans="6:14">
      <c r="F156" s="6" t="s">
        <v>138</v>
      </c>
      <c r="J156" s="11">
        <v>554.70000000000005</v>
      </c>
      <c r="K156" s="11">
        <v>500</v>
      </c>
      <c r="L156" s="11"/>
      <c r="M156" s="11">
        <v>550</v>
      </c>
      <c r="N156" s="11"/>
    </row>
    <row r="157" spans="6:14">
      <c r="F157" s="6" t="s">
        <v>139</v>
      </c>
      <c r="J157" s="11">
        <v>1366.76</v>
      </c>
      <c r="K157" s="11">
        <v>500</v>
      </c>
      <c r="L157" s="11">
        <v>2327.48</v>
      </c>
      <c r="M157" s="11">
        <v>1500</v>
      </c>
      <c r="N157" s="11">
        <v>2500</v>
      </c>
    </row>
    <row r="158" spans="6:14">
      <c r="F158" s="6" t="s">
        <v>140</v>
      </c>
      <c r="J158" s="11">
        <v>771.95</v>
      </c>
      <c r="K158" s="11">
        <v>700</v>
      </c>
      <c r="L158" s="11">
        <v>628.58000000000004</v>
      </c>
      <c r="M158" s="11">
        <v>800</v>
      </c>
      <c r="N158" s="11">
        <v>1000</v>
      </c>
    </row>
    <row r="159" spans="6:14">
      <c r="F159" s="6" t="s">
        <v>141</v>
      </c>
      <c r="J159" s="11">
        <v>932.01</v>
      </c>
      <c r="K159" s="11">
        <v>2500</v>
      </c>
      <c r="L159" s="11">
        <v>821.78</v>
      </c>
      <c r="M159" s="11">
        <v>800</v>
      </c>
      <c r="N159" s="11">
        <v>900</v>
      </c>
    </row>
    <row r="160" spans="6:14">
      <c r="F160" s="6" t="s">
        <v>142</v>
      </c>
      <c r="J160" s="11">
        <v>1129</v>
      </c>
      <c r="K160" s="11">
        <v>2000</v>
      </c>
      <c r="L160" s="11"/>
      <c r="M160" s="11">
        <v>1800</v>
      </c>
      <c r="N160" s="11">
        <v>0</v>
      </c>
    </row>
    <row r="161" spans="5:15">
      <c r="F161" s="6" t="s">
        <v>143</v>
      </c>
      <c r="J161" s="11">
        <v>336</v>
      </c>
      <c r="K161" s="11"/>
      <c r="L161" s="11">
        <v>336</v>
      </c>
      <c r="M161" s="11">
        <v>300</v>
      </c>
      <c r="N161" s="11">
        <f>28*12</f>
        <v>336</v>
      </c>
    </row>
    <row r="162" spans="5:15">
      <c r="F162" s="6" t="s">
        <v>144</v>
      </c>
      <c r="J162" s="11"/>
      <c r="K162" s="11"/>
      <c r="L162" s="11"/>
      <c r="M162" s="11"/>
      <c r="N162" s="11"/>
    </row>
    <row r="163" spans="5:15">
      <c r="G163" s="6" t="s">
        <v>145</v>
      </c>
      <c r="J163" s="11">
        <v>63.49</v>
      </c>
      <c r="K163" s="11">
        <v>124</v>
      </c>
      <c r="L163" s="11"/>
      <c r="M163" s="11"/>
      <c r="N163" s="11">
        <v>0</v>
      </c>
    </row>
    <row r="164" spans="5:15" ht="15.75" thickBot="1">
      <c r="G164" s="6" t="s">
        <v>146</v>
      </c>
      <c r="J164" s="12">
        <v>160.36000000000001</v>
      </c>
      <c r="K164" s="12">
        <v>500</v>
      </c>
      <c r="L164" s="12">
        <v>1992.36</v>
      </c>
      <c r="M164" s="12">
        <v>1000</v>
      </c>
      <c r="N164" s="12">
        <v>1000</v>
      </c>
    </row>
    <row r="165" spans="5:15">
      <c r="F165" s="6" t="s">
        <v>147</v>
      </c>
      <c r="J165" s="11">
        <f>ROUND(SUM(J162:J164),5)</f>
        <v>223.85</v>
      </c>
      <c r="K165" s="11">
        <f>ROUND(SUM(K162:K164),5)</f>
        <v>624</v>
      </c>
      <c r="L165" s="11">
        <f>ROUND(SUM(L162:L164),5)</f>
        <v>1992.36</v>
      </c>
      <c r="M165" s="11">
        <f>ROUND(SUM(M162:M164),5)</f>
        <v>1000</v>
      </c>
      <c r="N165" s="11">
        <f>ROUND(SUM(N162:N164),5)</f>
        <v>1000</v>
      </c>
    </row>
    <row r="166" spans="5:15" ht="30" customHeight="1">
      <c r="F166" s="6" t="s">
        <v>148</v>
      </c>
      <c r="J166" s="11">
        <v>779.66</v>
      </c>
      <c r="K166" s="11">
        <v>1250</v>
      </c>
      <c r="L166" s="11">
        <v>1000</v>
      </c>
      <c r="M166" s="11">
        <v>2000</v>
      </c>
      <c r="N166" s="11">
        <v>2600</v>
      </c>
    </row>
    <row r="167" spans="5:15">
      <c r="F167" s="6" t="s">
        <v>149</v>
      </c>
      <c r="J167" s="11">
        <v>252.93</v>
      </c>
      <c r="K167" s="11"/>
      <c r="L167" s="11">
        <v>35.25</v>
      </c>
      <c r="M167" s="11"/>
      <c r="N167" s="11">
        <v>50</v>
      </c>
      <c r="O167" s="4" t="s">
        <v>278</v>
      </c>
    </row>
    <row r="168" spans="5:15">
      <c r="F168" s="6" t="s">
        <v>150</v>
      </c>
      <c r="J168" s="11">
        <v>980.08</v>
      </c>
      <c r="K168" s="11">
        <v>850</v>
      </c>
      <c r="L168" s="11">
        <v>1235.1500000000001</v>
      </c>
      <c r="M168" s="11">
        <v>900</v>
      </c>
      <c r="N168" s="11">
        <v>1200</v>
      </c>
    </row>
    <row r="169" spans="5:15">
      <c r="F169" s="6" t="s">
        <v>151</v>
      </c>
      <c r="J169" s="11">
        <v>391.66</v>
      </c>
      <c r="K169" s="11"/>
      <c r="L169" s="11"/>
      <c r="M169" s="11">
        <v>500</v>
      </c>
      <c r="N169" s="11">
        <v>500</v>
      </c>
    </row>
    <row r="170" spans="5:15" ht="15.75" thickBot="1">
      <c r="F170" s="6" t="s">
        <v>152</v>
      </c>
      <c r="J170" s="12">
        <v>80</v>
      </c>
      <c r="K170" s="12">
        <v>1000</v>
      </c>
      <c r="L170" s="12">
        <v>45</v>
      </c>
      <c r="M170" s="12">
        <v>1000</v>
      </c>
      <c r="N170" s="12">
        <v>1000</v>
      </c>
    </row>
    <row r="171" spans="5:15">
      <c r="E171" s="6" t="s">
        <v>153</v>
      </c>
      <c r="J171" s="11">
        <f>ROUND(J133+SUM(J139:J148)+SUM(J153:J161)+SUM(J165:J170),5)</f>
        <v>44093.84</v>
      </c>
      <c r="K171" s="11">
        <f>ROUND(K133+SUM(K139:K148)+SUM(K153:K161)+SUM(K165:K170),5)</f>
        <v>38758</v>
      </c>
      <c r="L171" s="11">
        <f>ROUND(L133+SUM(L139:L148)+SUM(L153:L161)+SUM(L165:L170),5)</f>
        <v>45943.54</v>
      </c>
      <c r="M171" s="11">
        <f>ROUND(M133+SUM(M139:M148)+SUM(M153:M161)+SUM(M165:M170),5)</f>
        <v>49280</v>
      </c>
      <c r="N171" s="11">
        <f>ROUND(N133+SUM(N139:N148)+SUM(N153:N161)+SUM(N165:N170),5)</f>
        <v>48386</v>
      </c>
    </row>
    <row r="172" spans="5:15" ht="30" customHeight="1">
      <c r="E172" s="6" t="s">
        <v>154</v>
      </c>
      <c r="J172" s="11"/>
      <c r="K172" s="11"/>
      <c r="L172" s="11"/>
      <c r="M172" s="11"/>
      <c r="N172" s="11"/>
    </row>
    <row r="173" spans="5:15">
      <c r="F173" s="6" t="s">
        <v>155</v>
      </c>
      <c r="J173" s="11">
        <v>0</v>
      </c>
      <c r="K173" s="11">
        <v>100</v>
      </c>
      <c r="L173" s="11"/>
      <c r="M173" s="11">
        <v>500</v>
      </c>
      <c r="N173" s="11"/>
    </row>
    <row r="174" spans="5:15" ht="15.75" thickBot="1">
      <c r="F174" s="6" t="s">
        <v>156</v>
      </c>
      <c r="J174" s="12">
        <v>552.52</v>
      </c>
      <c r="K174" s="12">
        <v>400</v>
      </c>
      <c r="L174" s="12">
        <v>606.48</v>
      </c>
      <c r="M174" s="12">
        <v>600</v>
      </c>
      <c r="N174" s="12">
        <v>700</v>
      </c>
    </row>
    <row r="175" spans="5:15">
      <c r="E175" s="6" t="s">
        <v>157</v>
      </c>
      <c r="J175" s="11">
        <f>ROUND(SUM(J172:J174),5)</f>
        <v>552.52</v>
      </c>
      <c r="K175" s="11">
        <f>ROUND(SUM(K172:K174),5)</f>
        <v>500</v>
      </c>
      <c r="L175" s="11">
        <f>ROUND(SUM(L172:L174),5)</f>
        <v>606.48</v>
      </c>
      <c r="M175" s="11">
        <f>ROUND(SUM(M172:M174),5)</f>
        <v>1100</v>
      </c>
      <c r="N175" s="11">
        <f>ROUND(SUM(N172:N174),5)</f>
        <v>700</v>
      </c>
    </row>
    <row r="176" spans="5:15" ht="30" customHeight="1">
      <c r="E176" s="6" t="s">
        <v>158</v>
      </c>
      <c r="J176" s="11">
        <v>893.27</v>
      </c>
      <c r="K176" s="11">
        <v>600</v>
      </c>
      <c r="L176" s="11">
        <v>230.78</v>
      </c>
      <c r="M176" s="11"/>
      <c r="N176" s="11">
        <v>1000</v>
      </c>
    </row>
    <row r="177" spans="5:14">
      <c r="E177" s="6" t="s">
        <v>159</v>
      </c>
      <c r="J177" s="11"/>
      <c r="K177" s="11"/>
      <c r="L177" s="11"/>
      <c r="M177" s="11"/>
      <c r="N177" s="11"/>
    </row>
    <row r="178" spans="5:14">
      <c r="F178" s="6" t="s">
        <v>254</v>
      </c>
      <c r="J178" s="11"/>
      <c r="K178" s="11"/>
      <c r="L178" s="11">
        <v>1294.6500000000001</v>
      </c>
      <c r="M178" s="11"/>
      <c r="N178" s="11">
        <v>1500</v>
      </c>
    </row>
    <row r="179" spans="5:14">
      <c r="F179" s="6" t="s">
        <v>160</v>
      </c>
      <c r="J179" s="11">
        <v>39.5</v>
      </c>
      <c r="K179" s="11">
        <v>25</v>
      </c>
      <c r="L179" s="11"/>
      <c r="M179" s="11"/>
      <c r="N179" s="11">
        <v>0</v>
      </c>
    </row>
    <row r="180" spans="5:14">
      <c r="F180" s="6" t="s">
        <v>161</v>
      </c>
      <c r="J180" s="11">
        <v>0</v>
      </c>
      <c r="K180" s="11">
        <v>8000</v>
      </c>
      <c r="L180" s="11"/>
      <c r="M180" s="11"/>
      <c r="N180" s="11">
        <v>0</v>
      </c>
    </row>
    <row r="181" spans="5:14">
      <c r="F181" s="6" t="s">
        <v>162</v>
      </c>
      <c r="J181" s="11">
        <v>9.4700000000000006</v>
      </c>
      <c r="K181" s="11"/>
      <c r="L181" s="11">
        <v>14.4</v>
      </c>
      <c r="M181" s="11"/>
      <c r="N181" s="11">
        <v>15</v>
      </c>
    </row>
    <row r="182" spans="5:14">
      <c r="F182" s="6" t="s">
        <v>163</v>
      </c>
      <c r="J182" s="11">
        <v>1212.46</v>
      </c>
      <c r="K182" s="11">
        <v>2000</v>
      </c>
      <c r="L182" s="11">
        <v>303.89999999999998</v>
      </c>
      <c r="M182" s="11">
        <v>2000</v>
      </c>
      <c r="N182" s="11">
        <v>1000</v>
      </c>
    </row>
    <row r="183" spans="5:14">
      <c r="F183" s="6" t="s">
        <v>164</v>
      </c>
      <c r="J183" s="11">
        <v>0</v>
      </c>
      <c r="K183" s="11">
        <v>100</v>
      </c>
      <c r="L183" s="11">
        <v>259.79000000000002</v>
      </c>
      <c r="M183" s="11">
        <v>500</v>
      </c>
      <c r="N183" s="11">
        <v>500</v>
      </c>
    </row>
    <row r="184" spans="5:14">
      <c r="F184" s="6" t="s">
        <v>279</v>
      </c>
      <c r="J184" s="11"/>
      <c r="K184" s="11"/>
      <c r="L184" s="11"/>
      <c r="M184" s="11"/>
      <c r="N184" s="11">
        <v>1500</v>
      </c>
    </row>
    <row r="185" spans="5:14" ht="15.75" thickBot="1">
      <c r="F185" s="6" t="s">
        <v>165</v>
      </c>
      <c r="J185" s="12">
        <v>100</v>
      </c>
      <c r="K185" s="12">
        <v>100</v>
      </c>
      <c r="L185" s="12"/>
      <c r="M185" s="12"/>
      <c r="N185" s="12">
        <v>0</v>
      </c>
    </row>
    <row r="186" spans="5:14">
      <c r="E186" s="6" t="s">
        <v>166</v>
      </c>
      <c r="J186" s="11">
        <f>ROUND(SUM(J177:J185),5)</f>
        <v>1361.43</v>
      </c>
      <c r="K186" s="11">
        <f>ROUND(SUM(K177:K185),5)</f>
        <v>10225</v>
      </c>
      <c r="L186" s="11">
        <f>ROUND(SUM(L177:L185),5)</f>
        <v>1872.74</v>
      </c>
      <c r="M186" s="11">
        <f>ROUND(SUM(M177:M185),5)</f>
        <v>2500</v>
      </c>
      <c r="N186" s="11">
        <f>ROUND(SUM(N177:N185),5)</f>
        <v>4515</v>
      </c>
    </row>
    <row r="187" spans="5:14" ht="30" customHeight="1">
      <c r="E187" s="6" t="s">
        <v>167</v>
      </c>
      <c r="J187" s="11"/>
      <c r="K187" s="11"/>
      <c r="L187" s="11"/>
      <c r="M187" s="11"/>
      <c r="N187" s="11"/>
    </row>
    <row r="188" spans="5:14">
      <c r="F188" s="6" t="s">
        <v>168</v>
      </c>
      <c r="J188" s="11">
        <v>1336.75</v>
      </c>
      <c r="K188" s="11">
        <v>3500</v>
      </c>
      <c r="L188" s="11"/>
      <c r="M188" s="11">
        <v>2000</v>
      </c>
      <c r="N188" s="11">
        <v>0</v>
      </c>
    </row>
    <row r="189" spans="5:14">
      <c r="F189" s="6" t="s">
        <v>169</v>
      </c>
      <c r="J189" s="13">
        <v>0</v>
      </c>
      <c r="K189" s="13">
        <v>200</v>
      </c>
      <c r="L189" s="13">
        <v>400.96</v>
      </c>
      <c r="M189" s="13">
        <v>1000</v>
      </c>
      <c r="N189" s="13">
        <v>0</v>
      </c>
    </row>
    <row r="190" spans="5:14" ht="15.75" thickBot="1">
      <c r="F190" s="6" t="s">
        <v>280</v>
      </c>
      <c r="J190" s="12"/>
      <c r="K190" s="12"/>
      <c r="L190" s="12"/>
      <c r="M190" s="12"/>
      <c r="N190" s="12">
        <v>500</v>
      </c>
    </row>
    <row r="191" spans="5:14">
      <c r="E191" s="6" t="s">
        <v>170</v>
      </c>
      <c r="J191" s="13">
        <f t="shared" ref="J191:M191" si="13">ROUND(SUM(J187:J190),5)</f>
        <v>1336.75</v>
      </c>
      <c r="K191" s="13">
        <f t="shared" si="13"/>
        <v>3700</v>
      </c>
      <c r="L191" s="13">
        <f t="shared" si="13"/>
        <v>400.96</v>
      </c>
      <c r="M191" s="13">
        <f t="shared" si="13"/>
        <v>3000</v>
      </c>
      <c r="N191" s="13">
        <f>ROUND(SUM(N187:N190),5)</f>
        <v>500</v>
      </c>
    </row>
    <row r="192" spans="5:14" ht="30" customHeight="1">
      <c r="E192" s="6" t="s">
        <v>171</v>
      </c>
      <c r="J192" s="11"/>
      <c r="K192" s="11"/>
      <c r="L192" s="11"/>
      <c r="M192" s="11"/>
      <c r="N192" s="11"/>
    </row>
    <row r="193" spans="5:14">
      <c r="F193" s="6" t="s">
        <v>266</v>
      </c>
      <c r="J193" s="11"/>
      <c r="K193" s="11"/>
      <c r="L193" s="11"/>
      <c r="N193" s="11">
        <v>7000</v>
      </c>
    </row>
    <row r="194" spans="5:14">
      <c r="F194" s="6" t="s">
        <v>172</v>
      </c>
      <c r="J194" s="11">
        <v>0</v>
      </c>
      <c r="K194" s="11">
        <v>30000</v>
      </c>
      <c r="L194" s="11">
        <v>120.78</v>
      </c>
      <c r="M194" s="11"/>
      <c r="N194" s="11">
        <v>0</v>
      </c>
    </row>
    <row r="195" spans="5:14">
      <c r="F195" s="6" t="s">
        <v>173</v>
      </c>
      <c r="J195" s="11">
        <v>0</v>
      </c>
      <c r="K195" s="11"/>
      <c r="L195" s="11"/>
      <c r="M195" s="11"/>
      <c r="N195" s="11">
        <v>200</v>
      </c>
    </row>
    <row r="196" spans="5:14">
      <c r="F196" s="6" t="s">
        <v>35</v>
      </c>
      <c r="J196" s="11">
        <v>204.94</v>
      </c>
      <c r="K196" s="11"/>
      <c r="L196" s="11"/>
      <c r="M196" s="11"/>
      <c r="N196" s="11">
        <v>0</v>
      </c>
    </row>
    <row r="197" spans="5:14">
      <c r="F197" s="6" t="s">
        <v>262</v>
      </c>
      <c r="J197" s="11"/>
      <c r="K197" s="11"/>
      <c r="L197" s="11"/>
      <c r="M197" s="11">
        <v>2500</v>
      </c>
      <c r="N197" s="11">
        <v>0</v>
      </c>
    </row>
    <row r="198" spans="5:14">
      <c r="F198" s="6" t="s">
        <v>174</v>
      </c>
      <c r="J198" s="11">
        <v>0</v>
      </c>
      <c r="K198" s="11">
        <v>95000</v>
      </c>
      <c r="L198" s="11"/>
      <c r="M198" s="11"/>
      <c r="N198" s="11">
        <v>0</v>
      </c>
    </row>
    <row r="199" spans="5:14">
      <c r="F199" s="6" t="s">
        <v>175</v>
      </c>
      <c r="J199" s="11">
        <v>580.91999999999996</v>
      </c>
      <c r="K199" s="11"/>
      <c r="L199" s="11"/>
      <c r="M199" s="11"/>
      <c r="N199" s="11">
        <v>0</v>
      </c>
    </row>
    <row r="200" spans="5:14">
      <c r="F200" s="6" t="s">
        <v>176</v>
      </c>
      <c r="J200" s="11">
        <v>3179.17</v>
      </c>
      <c r="K200" s="11">
        <v>2000</v>
      </c>
      <c r="L200" s="11">
        <v>2940</v>
      </c>
      <c r="M200" s="11">
        <v>3000</v>
      </c>
      <c r="N200" s="11">
        <v>3000</v>
      </c>
    </row>
    <row r="201" spans="5:14">
      <c r="F201" s="6" t="s">
        <v>177</v>
      </c>
      <c r="J201" s="11">
        <v>0</v>
      </c>
      <c r="K201" s="11">
        <v>300</v>
      </c>
      <c r="L201" s="11">
        <v>41.52</v>
      </c>
      <c r="M201" s="11"/>
      <c r="N201" s="11">
        <v>0</v>
      </c>
    </row>
    <row r="202" spans="5:14">
      <c r="F202" s="6" t="s">
        <v>178</v>
      </c>
      <c r="J202" s="11">
        <v>265.10000000000002</v>
      </c>
      <c r="K202" s="11"/>
      <c r="L202" s="11"/>
      <c r="M202" s="11"/>
      <c r="N202" s="11">
        <v>0</v>
      </c>
    </row>
    <row r="203" spans="5:14">
      <c r="F203" s="6" t="s">
        <v>179</v>
      </c>
      <c r="J203" s="11">
        <v>8562.01</v>
      </c>
      <c r="K203" s="11"/>
      <c r="L203" s="11"/>
      <c r="M203" s="11"/>
      <c r="N203" s="11">
        <v>0</v>
      </c>
    </row>
    <row r="204" spans="5:14">
      <c r="F204" s="6" t="s">
        <v>255</v>
      </c>
      <c r="J204" s="11"/>
      <c r="K204" s="11"/>
      <c r="L204" s="11">
        <v>275</v>
      </c>
      <c r="M204" s="11"/>
      <c r="N204" s="11">
        <v>0</v>
      </c>
    </row>
    <row r="205" spans="5:14">
      <c r="F205" s="6" t="s">
        <v>180</v>
      </c>
      <c r="J205" s="11">
        <v>23995.97</v>
      </c>
      <c r="K205" s="11">
        <v>34975</v>
      </c>
      <c r="L205" s="11">
        <v>11277.9</v>
      </c>
      <c r="M205" s="11"/>
      <c r="N205" s="11">
        <v>0</v>
      </c>
    </row>
    <row r="206" spans="5:14" ht="15.75" thickBot="1">
      <c r="F206" s="6" t="s">
        <v>181</v>
      </c>
      <c r="J206" s="12">
        <v>465.57</v>
      </c>
      <c r="K206" s="12"/>
      <c r="L206" s="12"/>
      <c r="M206" s="12">
        <v>1900</v>
      </c>
      <c r="N206" s="12">
        <v>2100</v>
      </c>
    </row>
    <row r="207" spans="5:14">
      <c r="E207" s="6" t="s">
        <v>182</v>
      </c>
      <c r="J207" s="11">
        <f>ROUND(SUM(J192:J206),5)</f>
        <v>37253.68</v>
      </c>
      <c r="K207" s="11">
        <f>ROUND(SUM(K192:K206),5)</f>
        <v>162275</v>
      </c>
      <c r="L207" s="11">
        <f>ROUND(SUM(L192:L206),5)</f>
        <v>14655.2</v>
      </c>
      <c r="M207" s="11">
        <f>ROUND(SUM(M192:M206),5)</f>
        <v>7400</v>
      </c>
      <c r="N207" s="11">
        <f>ROUND(SUM(N192:N206),5)</f>
        <v>12300</v>
      </c>
    </row>
    <row r="208" spans="5:14" ht="30" customHeight="1">
      <c r="E208" s="6" t="s">
        <v>183</v>
      </c>
      <c r="J208" s="11"/>
      <c r="K208" s="11"/>
      <c r="L208" s="11"/>
      <c r="M208" s="11"/>
      <c r="N208" s="11"/>
    </row>
    <row r="209" spans="5:14">
      <c r="F209" s="6" t="s">
        <v>263</v>
      </c>
      <c r="J209" s="11"/>
      <c r="K209" s="11"/>
      <c r="L209" s="11">
        <v>96.42</v>
      </c>
      <c r="M209" s="11">
        <v>200</v>
      </c>
      <c r="N209" s="11">
        <v>200</v>
      </c>
    </row>
    <row r="210" spans="5:14">
      <c r="F210" s="6" t="s">
        <v>264</v>
      </c>
      <c r="J210" s="11"/>
      <c r="K210" s="11"/>
      <c r="L210" s="11"/>
      <c r="M210" s="11">
        <v>350</v>
      </c>
      <c r="N210" s="11">
        <v>350</v>
      </c>
    </row>
    <row r="211" spans="5:14">
      <c r="F211" s="6" t="s">
        <v>184</v>
      </c>
      <c r="J211" s="11">
        <v>199.23</v>
      </c>
      <c r="K211" s="11">
        <v>250</v>
      </c>
      <c r="L211" s="11">
        <v>39.33</v>
      </c>
      <c r="M211" s="11">
        <v>300</v>
      </c>
      <c r="N211" s="11">
        <v>300</v>
      </c>
    </row>
    <row r="212" spans="5:14" ht="15.75" thickBot="1">
      <c r="F212" s="6" t="s">
        <v>185</v>
      </c>
      <c r="J212" s="12">
        <v>49.21</v>
      </c>
      <c r="K212" s="12">
        <v>200</v>
      </c>
      <c r="L212" s="12">
        <v>141.30000000000001</v>
      </c>
      <c r="M212" s="12">
        <v>250</v>
      </c>
      <c r="N212" s="12">
        <v>250</v>
      </c>
    </row>
    <row r="213" spans="5:14">
      <c r="E213" s="6" t="s">
        <v>186</v>
      </c>
      <c r="J213" s="11">
        <f>ROUND(SUM(J208:J212),5)</f>
        <v>248.44</v>
      </c>
      <c r="K213" s="11">
        <f>ROUND(SUM(K208:K212),5)</f>
        <v>450</v>
      </c>
      <c r="L213" s="11">
        <f>ROUND(SUM(L208:L212),5)</f>
        <v>277.05</v>
      </c>
      <c r="M213" s="11">
        <f>ROUND(SUM(M208:M212),5)</f>
        <v>1100</v>
      </c>
      <c r="N213" s="11">
        <f>ROUND(SUM(N208:N212),5)</f>
        <v>1100</v>
      </c>
    </row>
    <row r="214" spans="5:14" ht="30" customHeight="1">
      <c r="E214" s="6" t="s">
        <v>256</v>
      </c>
      <c r="J214" s="11"/>
      <c r="K214" s="11"/>
      <c r="L214" s="11"/>
      <c r="M214" s="11"/>
      <c r="N214" s="11"/>
    </row>
    <row r="215" spans="5:14">
      <c r="F215" s="6" t="s">
        <v>257</v>
      </c>
      <c r="J215" s="11"/>
      <c r="K215" s="11"/>
      <c r="L215" s="11">
        <v>498.02</v>
      </c>
      <c r="M215" s="11"/>
      <c r="N215" s="11">
        <v>0</v>
      </c>
    </row>
    <row r="216" spans="5:14">
      <c r="F216" s="6" t="s">
        <v>258</v>
      </c>
      <c r="J216" s="11"/>
      <c r="K216" s="11"/>
      <c r="L216" s="11">
        <v>31.71</v>
      </c>
      <c r="M216" s="11"/>
      <c r="N216" s="11">
        <v>50</v>
      </c>
    </row>
    <row r="217" spans="5:14" ht="15.75" thickBot="1">
      <c r="F217" s="6" t="s">
        <v>259</v>
      </c>
      <c r="J217" s="12"/>
      <c r="K217" s="12"/>
      <c r="L217" s="12">
        <v>215.07</v>
      </c>
      <c r="M217" s="12"/>
      <c r="N217" s="12">
        <v>250</v>
      </c>
    </row>
    <row r="218" spans="5:14">
      <c r="E218" s="6" t="s">
        <v>186</v>
      </c>
      <c r="J218" s="11">
        <f>ROUND(SUM(J214:J217),5)</f>
        <v>0</v>
      </c>
      <c r="K218" s="11">
        <f>ROUND(SUM(K214:K217),5)</f>
        <v>0</v>
      </c>
      <c r="L218" s="11">
        <f>ROUND(SUM(L214:L217),5)</f>
        <v>744.8</v>
      </c>
      <c r="M218" s="11">
        <f t="shared" ref="M218:N218" si="14">ROUND(SUM(M214:M217),5)</f>
        <v>0</v>
      </c>
      <c r="N218" s="11">
        <f t="shared" si="14"/>
        <v>300</v>
      </c>
    </row>
    <row r="219" spans="5:14" ht="30" customHeight="1">
      <c r="E219" s="6" t="s">
        <v>187</v>
      </c>
      <c r="J219" s="11"/>
      <c r="K219" s="11"/>
      <c r="L219" s="11"/>
      <c r="M219" s="11"/>
      <c r="N219" s="11"/>
    </row>
    <row r="220" spans="5:14">
      <c r="F220" s="6" t="s">
        <v>188</v>
      </c>
      <c r="J220" s="11">
        <v>54631.199999999997</v>
      </c>
      <c r="K220" s="11">
        <v>54631</v>
      </c>
      <c r="L220" s="11">
        <v>53454.44</v>
      </c>
      <c r="M220" s="11">
        <v>55724</v>
      </c>
      <c r="N220" s="11">
        <f>Payroll!D4</f>
        <v>57395.43</v>
      </c>
    </row>
    <row r="221" spans="5:14">
      <c r="F221" s="6" t="s">
        <v>189</v>
      </c>
      <c r="J221" s="11">
        <v>39922.74</v>
      </c>
      <c r="K221" s="11">
        <v>39923</v>
      </c>
      <c r="L221" s="11">
        <v>39062.870000000003</v>
      </c>
      <c r="M221" s="11">
        <v>40722</v>
      </c>
      <c r="N221" s="11">
        <f>Payroll!D5</f>
        <v>41942.839999999997</v>
      </c>
    </row>
    <row r="222" spans="5:14">
      <c r="F222" s="6" t="s">
        <v>190</v>
      </c>
      <c r="J222" s="11">
        <v>25740</v>
      </c>
      <c r="K222" s="11">
        <v>21450</v>
      </c>
      <c r="L222" s="11">
        <v>24344.1</v>
      </c>
      <c r="M222" s="11">
        <v>26255</v>
      </c>
      <c r="N222" s="11">
        <f>Payroll!D6</f>
        <v>27034.799999999999</v>
      </c>
    </row>
    <row r="223" spans="5:14">
      <c r="F223" s="6" t="s">
        <v>191</v>
      </c>
      <c r="J223" s="11">
        <v>0</v>
      </c>
      <c r="K223" s="11">
        <v>2280</v>
      </c>
      <c r="L223" s="11">
        <v>2607</v>
      </c>
      <c r="M223" s="11"/>
      <c r="N223" s="11">
        <f>Payroll!D7</f>
        <v>3000</v>
      </c>
    </row>
    <row r="224" spans="5:14">
      <c r="F224" s="6" t="s">
        <v>192</v>
      </c>
      <c r="J224" s="11">
        <v>9363.77</v>
      </c>
      <c r="K224" s="11">
        <v>11276</v>
      </c>
      <c r="L224" s="11">
        <v>10586.81</v>
      </c>
      <c r="M224" s="11">
        <v>10746</v>
      </c>
      <c r="N224" s="11">
        <f>Payroll!I8</f>
        <v>11780.34</v>
      </c>
    </row>
    <row r="225" spans="5:14">
      <c r="F225" s="6" t="s">
        <v>193</v>
      </c>
      <c r="J225" s="11">
        <v>0</v>
      </c>
      <c r="K225" s="11"/>
      <c r="L225" s="11">
        <v>-1589.57</v>
      </c>
      <c r="M225" s="11"/>
      <c r="N225" s="11">
        <v>0</v>
      </c>
    </row>
    <row r="226" spans="5:14">
      <c r="F226" s="6" t="s">
        <v>194</v>
      </c>
      <c r="J226" s="11">
        <v>5983.12</v>
      </c>
      <c r="K226" s="11">
        <v>8976</v>
      </c>
      <c r="L226" s="11">
        <v>5753</v>
      </c>
      <c r="M226" s="11">
        <v>6500</v>
      </c>
      <c r="N226" s="11">
        <f>Payroll!E8</f>
        <v>5983.12</v>
      </c>
    </row>
    <row r="227" spans="5:14">
      <c r="F227" s="6" t="s">
        <v>195</v>
      </c>
      <c r="J227" s="11">
        <v>1148.77</v>
      </c>
      <c r="K227" s="11">
        <v>450</v>
      </c>
      <c r="L227" s="11">
        <v>508.92</v>
      </c>
      <c r="M227" s="11">
        <v>1200</v>
      </c>
      <c r="N227" s="11">
        <v>550</v>
      </c>
    </row>
    <row r="228" spans="5:14">
      <c r="F228" s="6" t="s">
        <v>196</v>
      </c>
      <c r="J228" s="11">
        <v>-9755.9</v>
      </c>
      <c r="K228" s="11">
        <v>-9430</v>
      </c>
      <c r="L228" s="11"/>
      <c r="M228" s="11"/>
      <c r="N228" s="11">
        <v>0</v>
      </c>
    </row>
    <row r="229" spans="5:14" ht="15.75" thickBot="1">
      <c r="F229" s="6" t="s">
        <v>197</v>
      </c>
      <c r="J229" s="12">
        <v>-16680</v>
      </c>
      <c r="K229" s="12">
        <v>-23000</v>
      </c>
      <c r="L229" s="12">
        <v>-4795</v>
      </c>
      <c r="M229" s="12">
        <v>-13360</v>
      </c>
      <c r="N229" s="12">
        <v>0</v>
      </c>
    </row>
    <row r="230" spans="5:14">
      <c r="E230" s="6" t="s">
        <v>198</v>
      </c>
      <c r="J230" s="11">
        <f>ROUND(SUM(J219:J229),5)</f>
        <v>110353.7</v>
      </c>
      <c r="K230" s="11">
        <f>ROUND(SUM(K219:K229),5)</f>
        <v>106556</v>
      </c>
      <c r="L230" s="11">
        <f>ROUND(SUM(L219:L229),5)</f>
        <v>129932.57</v>
      </c>
      <c r="M230" s="11">
        <f>ROUND(SUM(M219:M229),5)</f>
        <v>127787</v>
      </c>
      <c r="N230" s="11">
        <f>ROUND(SUM(N219:N229),5)</f>
        <v>147686.53</v>
      </c>
    </row>
    <row r="231" spans="5:14" ht="30" customHeight="1">
      <c r="E231" s="6" t="s">
        <v>199</v>
      </c>
      <c r="J231" s="11"/>
      <c r="K231" s="11"/>
      <c r="L231" s="11"/>
      <c r="M231" s="11"/>
      <c r="N231" s="11"/>
    </row>
    <row r="232" spans="5:14">
      <c r="F232" s="6" t="s">
        <v>260</v>
      </c>
      <c r="J232" s="11"/>
      <c r="K232" s="11"/>
      <c r="L232" s="11">
        <v>36.07</v>
      </c>
      <c r="M232" s="11"/>
      <c r="N232" s="11">
        <v>0</v>
      </c>
    </row>
    <row r="233" spans="5:14">
      <c r="F233" s="6" t="s">
        <v>200</v>
      </c>
      <c r="J233" s="11">
        <v>0</v>
      </c>
      <c r="K233" s="11">
        <v>25</v>
      </c>
      <c r="L233" s="11"/>
      <c r="M233" s="11"/>
      <c r="N233" s="11">
        <v>0</v>
      </c>
    </row>
    <row r="234" spans="5:14">
      <c r="F234" s="6" t="s">
        <v>201</v>
      </c>
      <c r="J234" s="11">
        <v>0</v>
      </c>
      <c r="K234" s="11">
        <v>350</v>
      </c>
      <c r="L234" s="11"/>
      <c r="M234" s="11">
        <v>300</v>
      </c>
      <c r="N234" s="11">
        <v>0</v>
      </c>
    </row>
    <row r="235" spans="5:14">
      <c r="F235" s="6" t="s">
        <v>261</v>
      </c>
      <c r="J235" s="11"/>
      <c r="K235" s="11"/>
      <c r="L235" s="11">
        <v>1636</v>
      </c>
      <c r="M235" s="11"/>
      <c r="N235" s="11">
        <v>1000</v>
      </c>
    </row>
    <row r="236" spans="5:14">
      <c r="F236" s="6" t="s">
        <v>202</v>
      </c>
      <c r="J236" s="11">
        <v>137.41</v>
      </c>
      <c r="K236" s="11">
        <v>200</v>
      </c>
      <c r="L236" s="11">
        <v>417.04</v>
      </c>
      <c r="M236" s="11">
        <v>150</v>
      </c>
      <c r="N236" s="11">
        <v>500</v>
      </c>
    </row>
    <row r="237" spans="5:14" ht="15.75" thickBot="1">
      <c r="F237" s="6" t="s">
        <v>203</v>
      </c>
      <c r="J237" s="12">
        <v>59.24</v>
      </c>
      <c r="K237" s="12"/>
      <c r="L237" s="12">
        <v>285.26</v>
      </c>
      <c r="M237" s="12"/>
      <c r="N237" s="12">
        <v>300</v>
      </c>
    </row>
    <row r="238" spans="5:14">
      <c r="E238" s="6" t="s">
        <v>204</v>
      </c>
      <c r="J238" s="11">
        <f>ROUND(SUM(J231:J237),5)</f>
        <v>196.65</v>
      </c>
      <c r="K238" s="11">
        <f>ROUND(SUM(K231:K237),5)</f>
        <v>575</v>
      </c>
      <c r="L238" s="11">
        <f>ROUND(SUM(L231:L237),5)</f>
        <v>2374.37</v>
      </c>
      <c r="M238" s="11">
        <f t="shared" ref="M238:N238" si="15">ROUND(SUM(M231:M237),5)</f>
        <v>450</v>
      </c>
      <c r="N238" s="11">
        <f t="shared" si="15"/>
        <v>1800</v>
      </c>
    </row>
    <row r="239" spans="5:14" ht="30" customHeight="1">
      <c r="E239" s="6" t="s">
        <v>205</v>
      </c>
      <c r="J239" s="11"/>
      <c r="K239" s="11"/>
      <c r="L239" s="11"/>
      <c r="M239" s="11"/>
      <c r="N239" s="11"/>
    </row>
    <row r="240" spans="5:14">
      <c r="F240" s="6" t="s">
        <v>206</v>
      </c>
      <c r="J240" s="11">
        <v>0</v>
      </c>
      <c r="K240" s="11">
        <v>300</v>
      </c>
      <c r="L240" s="11"/>
      <c r="M240" s="11"/>
      <c r="N240" s="11"/>
    </row>
    <row r="241" spans="5:14">
      <c r="F241" s="6" t="s">
        <v>207</v>
      </c>
      <c r="J241" s="11">
        <v>0</v>
      </c>
      <c r="K241" s="11">
        <v>25</v>
      </c>
      <c r="L241" s="11"/>
      <c r="M241" s="11"/>
      <c r="N241" s="11"/>
    </row>
    <row r="242" spans="5:14" ht="15.75" thickBot="1">
      <c r="F242" s="6" t="s">
        <v>208</v>
      </c>
      <c r="J242" s="12">
        <v>9500</v>
      </c>
      <c r="K242" s="12">
        <v>9000</v>
      </c>
      <c r="L242" s="12">
        <v>10109.799999999999</v>
      </c>
      <c r="M242" s="12">
        <v>14000</v>
      </c>
      <c r="N242" s="12">
        <v>11000</v>
      </c>
    </row>
    <row r="243" spans="5:14">
      <c r="E243" s="6" t="s">
        <v>209</v>
      </c>
      <c r="J243" s="11">
        <f>ROUND(SUM(J239:J242),5)</f>
        <v>9500</v>
      </c>
      <c r="K243" s="11">
        <f>ROUND(SUM(K239:K242),5)</f>
        <v>9325</v>
      </c>
      <c r="L243" s="11">
        <f>ROUND(SUM(L239:L242),5)</f>
        <v>10109.799999999999</v>
      </c>
      <c r="M243" s="11">
        <f>ROUND(SUM(M239:M242),5)</f>
        <v>14000</v>
      </c>
      <c r="N243" s="11">
        <f>ROUND(SUM(N239:N242),5)</f>
        <v>11000</v>
      </c>
    </row>
    <row r="244" spans="5:14" ht="30" customHeight="1">
      <c r="E244" s="6" t="s">
        <v>210</v>
      </c>
      <c r="J244" s="11"/>
      <c r="K244" s="11"/>
      <c r="L244" s="11"/>
      <c r="M244" s="11"/>
      <c r="N244" s="11"/>
    </row>
    <row r="245" spans="5:14">
      <c r="F245" s="6" t="s">
        <v>211</v>
      </c>
      <c r="J245" s="11">
        <v>1510.47</v>
      </c>
      <c r="K245" s="11"/>
      <c r="L245" s="11"/>
      <c r="M245" s="11"/>
      <c r="N245" s="11">
        <v>0</v>
      </c>
    </row>
    <row r="246" spans="5:14">
      <c r="F246" s="6" t="s">
        <v>212</v>
      </c>
      <c r="J246" s="11"/>
      <c r="K246" s="11"/>
      <c r="L246" s="11"/>
      <c r="M246" s="11"/>
      <c r="N246" s="11"/>
    </row>
    <row r="247" spans="5:14">
      <c r="G247" s="6" t="s">
        <v>213</v>
      </c>
      <c r="J247" s="11">
        <v>16680</v>
      </c>
      <c r="K247" s="11">
        <v>23000</v>
      </c>
      <c r="L247" s="11">
        <v>4795</v>
      </c>
      <c r="M247" s="11">
        <v>13360</v>
      </c>
      <c r="N247" s="11">
        <v>0</v>
      </c>
    </row>
    <row r="248" spans="5:14">
      <c r="G248" s="6" t="s">
        <v>214</v>
      </c>
      <c r="J248" s="11">
        <v>14986.76</v>
      </c>
      <c r="K248" s="11">
        <v>14000</v>
      </c>
      <c r="L248" s="11">
        <v>23362.75</v>
      </c>
      <c r="M248" s="11">
        <v>6000</v>
      </c>
      <c r="N248" s="11">
        <v>0</v>
      </c>
    </row>
    <row r="249" spans="5:14">
      <c r="G249" s="6" t="s">
        <v>215</v>
      </c>
      <c r="J249" s="11"/>
      <c r="K249" s="11"/>
      <c r="L249" s="11"/>
      <c r="M249" s="11"/>
      <c r="N249" s="11"/>
    </row>
    <row r="250" spans="5:14" ht="15.75" thickBot="1">
      <c r="H250" s="6" t="s">
        <v>216</v>
      </c>
      <c r="J250" s="12">
        <v>57</v>
      </c>
      <c r="K250" s="12"/>
      <c r="L250" s="12"/>
      <c r="M250" s="12"/>
      <c r="N250" s="12"/>
    </row>
    <row r="251" spans="5:14">
      <c r="G251" s="6" t="s">
        <v>217</v>
      </c>
      <c r="J251" s="11">
        <f>ROUND(SUM(J249:J250),5)</f>
        <v>57</v>
      </c>
      <c r="K251" s="11">
        <f t="shared" ref="K251:N251" si="16">ROUND(SUM(K249:K250),5)</f>
        <v>0</v>
      </c>
      <c r="L251" s="11">
        <f t="shared" si="16"/>
        <v>0</v>
      </c>
      <c r="M251" s="11">
        <f t="shared" si="16"/>
        <v>0</v>
      </c>
      <c r="N251" s="11">
        <f t="shared" si="16"/>
        <v>0</v>
      </c>
    </row>
    <row r="252" spans="5:14" ht="30" customHeight="1">
      <c r="G252" s="6" t="s">
        <v>218</v>
      </c>
      <c r="J252" s="11"/>
      <c r="K252" s="11"/>
      <c r="L252" s="11"/>
      <c r="M252" s="11"/>
      <c r="N252" s="11"/>
    </row>
    <row r="253" spans="5:14">
      <c r="H253" s="6" t="s">
        <v>219</v>
      </c>
      <c r="J253" s="11">
        <v>690217.82</v>
      </c>
      <c r="K253" s="11"/>
      <c r="L253" s="11">
        <v>175324.52</v>
      </c>
      <c r="M253" s="11"/>
      <c r="N253" s="11"/>
    </row>
    <row r="254" spans="5:14">
      <c r="H254" s="6" t="s">
        <v>220</v>
      </c>
      <c r="J254" s="11">
        <v>93716.12</v>
      </c>
      <c r="K254" s="11"/>
      <c r="L254" s="11">
        <v>23717.14</v>
      </c>
      <c r="M254" s="11"/>
      <c r="N254" s="11"/>
    </row>
    <row r="255" spans="5:14">
      <c r="H255" s="6" t="s">
        <v>221</v>
      </c>
      <c r="J255" s="11">
        <v>3366.6</v>
      </c>
      <c r="K255" s="11"/>
      <c r="L255" s="11">
        <v>2244.4</v>
      </c>
      <c r="M255" s="11"/>
      <c r="N255" s="11"/>
    </row>
    <row r="256" spans="5:14">
      <c r="H256" s="6" t="s">
        <v>92</v>
      </c>
      <c r="J256" s="11">
        <v>52</v>
      </c>
      <c r="K256" s="11"/>
      <c r="L256" s="11"/>
      <c r="M256" s="11"/>
      <c r="N256" s="11"/>
    </row>
    <row r="257" spans="2:14" ht="15.75" thickBot="1">
      <c r="H257" s="6" t="s">
        <v>222</v>
      </c>
      <c r="J257" s="12">
        <v>17025.560000000001</v>
      </c>
      <c r="K257" s="12"/>
      <c r="L257" s="12"/>
      <c r="M257" s="12"/>
      <c r="N257" s="12"/>
    </row>
    <row r="258" spans="2:14">
      <c r="G258" s="6" t="s">
        <v>223</v>
      </c>
      <c r="J258" s="11">
        <f>ROUND(SUM(J252:J257),5)</f>
        <v>804378.1</v>
      </c>
      <c r="K258" s="11">
        <f t="shared" ref="K258:N258" si="17">ROUND(SUM(K252:K257),5)</f>
        <v>0</v>
      </c>
      <c r="L258" s="11">
        <f t="shared" si="17"/>
        <v>201286.06</v>
      </c>
      <c r="M258" s="11">
        <v>272443</v>
      </c>
      <c r="N258" s="11">
        <f t="shared" si="17"/>
        <v>0</v>
      </c>
    </row>
    <row r="259" spans="2:14" ht="30" customHeight="1">
      <c r="G259" s="6" t="s">
        <v>224</v>
      </c>
      <c r="J259" s="11"/>
      <c r="K259" s="11"/>
      <c r="L259" s="11"/>
      <c r="M259" s="11"/>
      <c r="N259" s="11"/>
    </row>
    <row r="260" spans="2:14">
      <c r="H260" s="6" t="s">
        <v>225</v>
      </c>
      <c r="J260" s="11"/>
      <c r="K260" s="11"/>
      <c r="L260" s="11"/>
      <c r="M260" s="11"/>
      <c r="N260" s="11"/>
    </row>
    <row r="261" spans="2:14" ht="15.75" thickBot="1">
      <c r="I261" s="6" t="s">
        <v>98</v>
      </c>
      <c r="J261" s="12">
        <v>4858.51</v>
      </c>
      <c r="K261" s="12"/>
      <c r="L261" s="12"/>
      <c r="M261" s="12"/>
      <c r="N261" s="12"/>
    </row>
    <row r="262" spans="2:14">
      <c r="H262" s="6" t="s">
        <v>226</v>
      </c>
      <c r="J262" s="11">
        <f>ROUND(SUM(J260:J261),5)</f>
        <v>4858.51</v>
      </c>
      <c r="K262" s="11">
        <f t="shared" ref="K262:N262" si="18">ROUND(SUM(K260:K261),5)</f>
        <v>0</v>
      </c>
      <c r="L262" s="11">
        <f t="shared" si="18"/>
        <v>0</v>
      </c>
      <c r="M262" s="11">
        <f t="shared" si="18"/>
        <v>0</v>
      </c>
      <c r="N262" s="11">
        <f t="shared" si="18"/>
        <v>0</v>
      </c>
    </row>
    <row r="263" spans="2:14" ht="30" customHeight="1" thickBot="1">
      <c r="H263" s="6" t="s">
        <v>227</v>
      </c>
      <c r="J263" s="13">
        <v>3399.84</v>
      </c>
      <c r="K263" s="11"/>
      <c r="L263" s="11"/>
      <c r="M263" s="11"/>
      <c r="N263" s="11"/>
    </row>
    <row r="264" spans="2:14" ht="15.75" thickBot="1">
      <c r="G264" s="6" t="s">
        <v>228</v>
      </c>
      <c r="J264" s="17">
        <f>ROUND(J259+SUM(J262:J263),5)</f>
        <v>8258.35</v>
      </c>
      <c r="K264" s="17">
        <f>ROUND(K259+SUM(K262:K263),5)</f>
        <v>0</v>
      </c>
      <c r="L264" s="17">
        <f>ROUND(L259+SUM(L262:L263),5)</f>
        <v>0</v>
      </c>
      <c r="M264" s="17">
        <f>ROUND(M259+SUM(M262:M263),5)</f>
        <v>0</v>
      </c>
      <c r="N264" s="17">
        <f>ROUND(N259+SUM(N262:N263),5)</f>
        <v>0</v>
      </c>
    </row>
    <row r="265" spans="2:14" ht="30" customHeight="1" thickBot="1">
      <c r="F265" s="6" t="s">
        <v>229</v>
      </c>
      <c r="J265" s="17">
        <f>ROUND(SUM(J246:J248)+J251+J258+J264,5)</f>
        <v>844360.21</v>
      </c>
      <c r="K265" s="17">
        <f>ROUND(SUM(K246:K248)+K251+K258+K264,5)</f>
        <v>37000</v>
      </c>
      <c r="L265" s="17">
        <f>ROUND(SUM(L246:L248)+L251+L258+L264,5)</f>
        <v>229443.81</v>
      </c>
      <c r="M265" s="17">
        <f>ROUND(SUM(M246:M248)+M251+M258+M264,5)</f>
        <v>291803</v>
      </c>
      <c r="N265" s="17">
        <f>ROUND(SUM(N246:N248)+N251+N258+N264,5)</f>
        <v>0</v>
      </c>
    </row>
    <row r="266" spans="2:14" ht="30" customHeight="1" thickBot="1">
      <c r="E266" s="6" t="s">
        <v>230</v>
      </c>
      <c r="J266" s="17">
        <f>ROUND(SUM(J244:J245)+J265,5)</f>
        <v>845870.68</v>
      </c>
      <c r="K266" s="17">
        <f>ROUND(SUM(K244:K245)+K265,5)</f>
        <v>37000</v>
      </c>
      <c r="L266" s="17">
        <f>ROUND(SUM(L244:L245)+L265,5)</f>
        <v>229443.81</v>
      </c>
      <c r="M266" s="17">
        <f>ROUND(SUM(M244:M245)+M265,5)</f>
        <v>291803</v>
      </c>
      <c r="N266" s="17">
        <f>ROUND(SUM(N244:N245)+N265,5)</f>
        <v>0</v>
      </c>
    </row>
    <row r="267" spans="2:14" ht="30" customHeight="1" thickBot="1">
      <c r="D267" s="6" t="s">
        <v>231</v>
      </c>
      <c r="J267" s="14">
        <f>ROUND(J132+J171+SUM(J175:J176)+J186+J191+J207+J218+J230+J238+J243+J266,5)</f>
        <v>1051412.52</v>
      </c>
      <c r="K267" s="14">
        <f>ROUND(K132+K171+SUM(K175:K176)+K186+K191+K207+K218+K230+K238+K243+K266,5)</f>
        <v>369514</v>
      </c>
      <c r="L267" s="14">
        <f>ROUND(L132+L171+SUM(L175:L176)+L186+L191+L207+L213+L218+L230+L238+L243+L266,5)</f>
        <v>436592.1</v>
      </c>
      <c r="M267" s="14">
        <f>ROUND(M132+M171+SUM(M175:M176)+M186+M191+M207+M213+M218+M230+M238+M243+M266,5)</f>
        <v>498420</v>
      </c>
      <c r="N267" s="14">
        <f>ROUND(N132+N171+SUM(N175:N176)+N186+N191+N207+N213+N218+N230+N238+N243+N266,5)</f>
        <v>229287.53</v>
      </c>
    </row>
    <row r="268" spans="2:14" ht="30" customHeight="1">
      <c r="B268" s="6" t="s">
        <v>232</v>
      </c>
      <c r="J268" s="11">
        <f>ROUND(J3+J131-J267,5)</f>
        <v>153403.91</v>
      </c>
      <c r="K268" s="11">
        <f>ROUND(K3+K131-K267,5)</f>
        <v>-12659</v>
      </c>
      <c r="L268" s="11">
        <f>ROUND(L3+L131-L267,5)</f>
        <v>-68620.539999999994</v>
      </c>
      <c r="M268" s="11">
        <f>ROUND(M3+M131-M267,5)</f>
        <v>-29709</v>
      </c>
      <c r="N268" s="11">
        <f>ROUND(N3+N131-N267,5)</f>
        <v>-11002.53</v>
      </c>
    </row>
    <row r="269" spans="2:14" ht="30" customHeight="1">
      <c r="B269" s="6" t="s">
        <v>233</v>
      </c>
      <c r="J269" s="11"/>
      <c r="K269" s="11"/>
      <c r="L269" s="11"/>
      <c r="M269" s="11"/>
      <c r="N269" s="11"/>
    </row>
    <row r="270" spans="2:14">
      <c r="C270" s="6" t="s">
        <v>234</v>
      </c>
      <c r="J270" s="11"/>
      <c r="K270" s="11"/>
      <c r="L270" s="11"/>
      <c r="M270" s="11"/>
      <c r="N270" s="11"/>
    </row>
    <row r="271" spans="2:14" ht="15.75" thickBot="1">
      <c r="D271" s="6" t="s">
        <v>235</v>
      </c>
      <c r="J271" s="12">
        <v>4352.5</v>
      </c>
      <c r="K271" s="12">
        <v>8000</v>
      </c>
      <c r="L271" s="12">
        <v>200</v>
      </c>
      <c r="M271" s="12"/>
      <c r="N271" s="12">
        <v>0</v>
      </c>
    </row>
    <row r="272" spans="2:14">
      <c r="C272" s="6" t="s">
        <v>236</v>
      </c>
      <c r="J272" s="11">
        <f>ROUND(SUM(J270:J271),5)</f>
        <v>4352.5</v>
      </c>
      <c r="K272" s="11">
        <f>ROUND(SUM(K270:K271),5)</f>
        <v>8000</v>
      </c>
      <c r="L272" s="11">
        <f>ROUND(SUM(L270:L271),5)</f>
        <v>200</v>
      </c>
      <c r="M272" s="11">
        <f t="shared" ref="M272:N272" si="19">ROUND(SUM(M270:M271),5)</f>
        <v>0</v>
      </c>
      <c r="N272" s="11">
        <f t="shared" si="19"/>
        <v>0</v>
      </c>
    </row>
    <row r="273" spans="1:14" ht="30" customHeight="1">
      <c r="C273" s="6" t="s">
        <v>237</v>
      </c>
      <c r="J273" s="11"/>
      <c r="K273" s="11"/>
      <c r="L273" s="11"/>
      <c r="M273" s="11"/>
      <c r="N273" s="11"/>
    </row>
    <row r="274" spans="1:14" ht="15.75" thickBot="1">
      <c r="D274" s="6" t="s">
        <v>238</v>
      </c>
      <c r="J274" s="13">
        <v>110.8</v>
      </c>
      <c r="K274" s="11"/>
      <c r="L274" s="11">
        <v>104.09</v>
      </c>
      <c r="M274" s="11"/>
      <c r="N274" s="11">
        <v>100</v>
      </c>
    </row>
    <row r="275" spans="1:14" ht="15.75" thickBot="1">
      <c r="C275" s="6" t="s">
        <v>239</v>
      </c>
      <c r="J275" s="17">
        <f>ROUND(SUM(J273:J274),5)</f>
        <v>110.8</v>
      </c>
      <c r="K275" s="17">
        <f>ROUND(SUM(K273:K274),5)</f>
        <v>0</v>
      </c>
      <c r="L275" s="17">
        <f>ROUND(SUM(L273:L274),5)</f>
        <v>104.09</v>
      </c>
      <c r="M275" s="17">
        <f t="shared" ref="M275:N275" si="20">ROUND(SUM(M273:M274),5)</f>
        <v>0</v>
      </c>
      <c r="N275" s="17">
        <f t="shared" si="20"/>
        <v>100</v>
      </c>
    </row>
    <row r="276" spans="1:14" ht="30" customHeight="1" thickBot="1">
      <c r="B276" s="6" t="s">
        <v>240</v>
      </c>
      <c r="J276" s="17">
        <f>ROUND(J269+J272-J275,5)</f>
        <v>4241.7</v>
      </c>
      <c r="K276" s="17">
        <f>ROUND(K269+K272-K275,5)</f>
        <v>8000</v>
      </c>
      <c r="L276" s="17">
        <f>ROUND(L269+L272-L275,5)</f>
        <v>95.91</v>
      </c>
      <c r="M276" s="17">
        <f t="shared" ref="M276:N276" si="21">ROUND(M269+M272-M275,5)</f>
        <v>0</v>
      </c>
      <c r="N276" s="17">
        <f t="shared" si="21"/>
        <v>-100</v>
      </c>
    </row>
    <row r="277" spans="1:14" s="6" customFormat="1" ht="30" customHeight="1" thickBot="1">
      <c r="A277" s="6" t="s">
        <v>241</v>
      </c>
      <c r="J277" s="18">
        <f>ROUND(J268+J276,5)</f>
        <v>157645.60999999999</v>
      </c>
      <c r="K277" s="18">
        <f>ROUND(K268+K276,5)</f>
        <v>-4659</v>
      </c>
      <c r="L277" s="18">
        <f>ROUND(L268+L276,5)</f>
        <v>-68524.63</v>
      </c>
      <c r="M277" s="18">
        <f>ROUND(M268+M276,5)</f>
        <v>-29709</v>
      </c>
      <c r="N277" s="18">
        <f>ROUND(N268+N276,5)</f>
        <v>-11102.53</v>
      </c>
    </row>
    <row r="278" spans="1:14" ht="15.75" thickTop="1"/>
  </sheetData>
  <mergeCells count="1">
    <mergeCell ref="J1:K1"/>
  </mergeCells>
  <pageMargins left="0.7" right="0.7" top="0.75" bottom="0.75" header="0.25" footer="0.3"/>
  <pageSetup orientation="portrait" verticalDpi="0" r:id="rId1"/>
  <headerFooter>
    <oddHeader>&amp;C&amp;"Arial,Bold"&amp;12 2015 
Budget Worksheet</oddHeader>
    <oddFooter>&amp;R&amp;"Arial,Bold"&amp;10 Page &amp;P of &amp;N&amp;L&amp;"Arial,Bold"&amp;10 CONFIDENTIAL - FOR MANAGEMENT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9" sqref="A9"/>
    </sheetView>
  </sheetViews>
  <sheetFormatPr defaultRowHeight="15"/>
  <cols>
    <col min="1" max="1" width="11.5703125" bestFit="1" customWidth="1"/>
  </cols>
  <sheetData>
    <row r="1" spans="1:3">
      <c r="A1" t="s">
        <v>268</v>
      </c>
    </row>
    <row r="3" spans="1:3">
      <c r="A3" t="s">
        <v>269</v>
      </c>
      <c r="B3">
        <v>18000</v>
      </c>
    </row>
    <row r="4" spans="1:3">
      <c r="A4" t="s">
        <v>270</v>
      </c>
      <c r="B4">
        <v>6000</v>
      </c>
    </row>
    <row r="5" spans="1:3">
      <c r="A5" t="s">
        <v>271</v>
      </c>
      <c r="B5">
        <v>3000</v>
      </c>
    </row>
    <row r="6" spans="1:3">
      <c r="A6" t="s">
        <v>272</v>
      </c>
      <c r="B6">
        <f>18750/2*0.4</f>
        <v>3750</v>
      </c>
      <c r="C6" t="s">
        <v>273</v>
      </c>
    </row>
    <row r="7" spans="1:3">
      <c r="A7" t="s">
        <v>274</v>
      </c>
      <c r="B7">
        <v>6000</v>
      </c>
    </row>
    <row r="8" spans="1:3">
      <c r="A8" t="s">
        <v>275</v>
      </c>
      <c r="B8">
        <v>1000</v>
      </c>
    </row>
    <row r="9" spans="1:3">
      <c r="B9" s="1">
        <f>SUM(B3:B8)</f>
        <v>37750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F4" sqref="F4"/>
    </sheetView>
  </sheetViews>
  <sheetFormatPr defaultRowHeight="15"/>
  <cols>
    <col min="1" max="1" width="19.7109375" bestFit="1" customWidth="1"/>
    <col min="2" max="2" width="9.85546875" style="4" bestFit="1" customWidth="1"/>
    <col min="3" max="3" width="10.5703125" style="4" customWidth="1"/>
    <col min="4" max="4" width="10.85546875" style="4" bestFit="1" customWidth="1"/>
    <col min="5" max="5" width="10.5703125" style="4" customWidth="1"/>
    <col min="6" max="6" width="10.85546875" style="4" bestFit="1" customWidth="1"/>
    <col min="7" max="7" width="11" style="4" customWidth="1"/>
    <col min="8" max="8" width="9.28515625" style="4" bestFit="1" customWidth="1"/>
    <col min="9" max="9" width="9.85546875" style="4" bestFit="1" customWidth="1"/>
  </cols>
  <sheetData>
    <row r="1" spans="1:9">
      <c r="A1" t="s">
        <v>281</v>
      </c>
    </row>
    <row r="3" spans="1:9" s="3" customFormat="1" ht="30">
      <c r="B3" s="3" t="s">
        <v>286</v>
      </c>
      <c r="C3" s="3" t="s">
        <v>288</v>
      </c>
      <c r="D3" s="3" t="s">
        <v>287</v>
      </c>
      <c r="E3" s="3" t="s">
        <v>288</v>
      </c>
      <c r="F3" s="3" t="s">
        <v>290</v>
      </c>
      <c r="G3" s="3" t="s">
        <v>289</v>
      </c>
      <c r="H3" s="3" t="s">
        <v>291</v>
      </c>
      <c r="I3" s="3" t="s">
        <v>292</v>
      </c>
    </row>
    <row r="4" spans="1:9">
      <c r="A4" t="s">
        <v>282</v>
      </c>
      <c r="B4" s="4">
        <f>2143.22*26</f>
        <v>55723.719999999994</v>
      </c>
      <c r="C4" s="4">
        <f>230.12/2</f>
        <v>115.06</v>
      </c>
      <c r="D4" s="4">
        <f t="shared" ref="D4:D5" si="0">ROUND(B4*1.03,2)</f>
        <v>57395.43</v>
      </c>
      <c r="E4" s="4">
        <f>C4*26</f>
        <v>2991.56</v>
      </c>
      <c r="F4" s="4">
        <f>SUM(D4:E4)</f>
        <v>60386.99</v>
      </c>
      <c r="G4" s="4">
        <f>ROUND(F4*0.0765,2)</f>
        <v>4619.6000000000004</v>
      </c>
      <c r="H4" s="4">
        <f>20600*(0.0169+0.0051)</f>
        <v>453.2</v>
      </c>
      <c r="I4" s="4">
        <f>SUM(G4:H4)</f>
        <v>5072.8</v>
      </c>
    </row>
    <row r="5" spans="1:9">
      <c r="A5" t="s">
        <v>283</v>
      </c>
      <c r="B5" s="4">
        <f>1566.2*26</f>
        <v>40721.200000000004</v>
      </c>
      <c r="C5" s="4">
        <f>230.12/2</f>
        <v>115.06</v>
      </c>
      <c r="D5" s="4">
        <f t="shared" si="0"/>
        <v>41942.839999999997</v>
      </c>
      <c r="E5" s="4">
        <f>C5*26</f>
        <v>2991.56</v>
      </c>
      <c r="F5" s="4">
        <f t="shared" ref="F5:F7" si="1">SUM(D5:E5)</f>
        <v>44934.399999999994</v>
      </c>
      <c r="G5" s="4">
        <f t="shared" ref="G5:G7" si="2">ROUND(F5*0.0765,2)</f>
        <v>3437.48</v>
      </c>
      <c r="H5" s="4">
        <f>20600*(0.0169+0.0051)</f>
        <v>453.2</v>
      </c>
      <c r="I5" s="4">
        <f t="shared" ref="I5:I7" si="3">SUM(G5:H5)</f>
        <v>3890.68</v>
      </c>
    </row>
    <row r="6" spans="1:9">
      <c r="A6" t="s">
        <v>284</v>
      </c>
      <c r="B6" s="4">
        <f>673.2/40</f>
        <v>16.830000000000002</v>
      </c>
      <c r="D6" s="4">
        <f>ROUND(B6*1.03,2)*60*26</f>
        <v>27034.799999999999</v>
      </c>
      <c r="E6" s="4">
        <f t="shared" ref="E5:E7" si="4">C6</f>
        <v>0</v>
      </c>
      <c r="F6" s="4">
        <f t="shared" si="1"/>
        <v>27034.799999999999</v>
      </c>
      <c r="G6" s="4">
        <f t="shared" si="2"/>
        <v>2068.16</v>
      </c>
      <c r="H6" s="4">
        <f>20600*(0.0169+0.0051)</f>
        <v>453.2</v>
      </c>
      <c r="I6" s="4">
        <f t="shared" si="3"/>
        <v>2521.3599999999997</v>
      </c>
    </row>
    <row r="7" spans="1:9">
      <c r="A7" t="s">
        <v>285</v>
      </c>
      <c r="D7" s="4">
        <v>3000</v>
      </c>
      <c r="E7" s="4">
        <f t="shared" si="4"/>
        <v>0</v>
      </c>
      <c r="F7" s="4">
        <f t="shared" si="1"/>
        <v>3000</v>
      </c>
      <c r="G7" s="4">
        <f t="shared" si="2"/>
        <v>229.5</v>
      </c>
      <c r="H7" s="4">
        <f>D7*(0.0169+0.0051)</f>
        <v>66</v>
      </c>
      <c r="I7" s="4">
        <f t="shared" si="3"/>
        <v>295.5</v>
      </c>
    </row>
    <row r="8" spans="1:9">
      <c r="B8" s="5">
        <f>SUM(B4:B7)</f>
        <v>96461.75</v>
      </c>
      <c r="C8" s="5">
        <f t="shared" ref="C8:I8" si="5">SUM(C4:C7)</f>
        <v>230.12</v>
      </c>
      <c r="D8" s="5">
        <f t="shared" si="5"/>
        <v>129373.06999999999</v>
      </c>
      <c r="E8" s="5">
        <f t="shared" si="5"/>
        <v>5983.12</v>
      </c>
      <c r="F8" s="5">
        <f t="shared" si="5"/>
        <v>135356.18999999997</v>
      </c>
      <c r="G8" s="5">
        <f t="shared" si="5"/>
        <v>10354.74</v>
      </c>
      <c r="H8" s="5">
        <f t="shared" si="5"/>
        <v>1425.6</v>
      </c>
      <c r="I8" s="5">
        <f t="shared" si="5"/>
        <v>11780.34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Budget Overview</vt:lpstr>
      <vt:lpstr>Sheet2</vt:lpstr>
      <vt:lpstr>Sheet3</vt:lpstr>
      <vt:lpstr>Sandy Grant</vt:lpstr>
      <vt:lpstr>Payroll</vt:lpstr>
      <vt:lpstr>'Budget Overview'!Print_Titles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</dc:creator>
  <cp:lastModifiedBy>Accounting</cp:lastModifiedBy>
  <dcterms:created xsi:type="dcterms:W3CDTF">2014-10-21T18:59:48Z</dcterms:created>
  <dcterms:modified xsi:type="dcterms:W3CDTF">2014-12-16T18:15:10Z</dcterms:modified>
</cp:coreProperties>
</file>