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rillL\Google Drive\Development\Statistics\"/>
    </mc:Choice>
  </mc:AlternateContent>
  <xr:revisionPtr revIDLastSave="0" documentId="13_ncr:1_{397C94C5-94DD-40BD-AE14-9159CF309922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data" sheetId="1" r:id="rId1"/>
    <sheet name="Formulas" sheetId="2" r:id="rId2"/>
    <sheet name="Graph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4" i="2" l="1"/>
  <c r="Q24" i="2"/>
  <c r="P24" i="2"/>
  <c r="O24" i="2"/>
  <c r="K52" i="2" l="1"/>
  <c r="J52" i="2"/>
  <c r="I52" i="2"/>
  <c r="K51" i="2"/>
  <c r="J51" i="2"/>
  <c r="I51" i="2"/>
  <c r="K50" i="2"/>
  <c r="J50" i="2"/>
  <c r="I50" i="2"/>
  <c r="K49" i="2"/>
  <c r="J49" i="2"/>
  <c r="I49" i="2"/>
  <c r="K48" i="2"/>
  <c r="J48" i="2"/>
  <c r="I48" i="2"/>
  <c r="K47" i="2"/>
  <c r="J47" i="2"/>
  <c r="I47" i="2"/>
  <c r="K46" i="2"/>
  <c r="J46" i="2"/>
  <c r="I46" i="2"/>
  <c r="K45" i="2"/>
  <c r="J45" i="2"/>
  <c r="I45" i="2"/>
  <c r="K44" i="2"/>
  <c r="J44" i="2"/>
  <c r="I44" i="2"/>
  <c r="K43" i="2"/>
  <c r="J43" i="2"/>
  <c r="I43" i="2"/>
  <c r="K42" i="2"/>
  <c r="J42" i="2"/>
  <c r="I42" i="2"/>
  <c r="K41" i="2"/>
  <c r="J41" i="2"/>
  <c r="I41" i="2"/>
  <c r="K40" i="2"/>
  <c r="J40" i="2"/>
  <c r="I40" i="2"/>
  <c r="K39" i="2"/>
  <c r="J39" i="2"/>
  <c r="I39" i="2"/>
  <c r="K38" i="2"/>
  <c r="J38" i="2"/>
  <c r="I38" i="2"/>
  <c r="K37" i="2"/>
  <c r="J37" i="2"/>
  <c r="I37" i="2"/>
  <c r="K36" i="2"/>
  <c r="J36" i="2"/>
  <c r="I36" i="2"/>
  <c r="K35" i="2"/>
  <c r="J35" i="2"/>
  <c r="I35" i="2"/>
  <c r="K34" i="2"/>
  <c r="J34" i="2"/>
  <c r="I34" i="2"/>
  <c r="K33" i="2"/>
  <c r="J33" i="2"/>
  <c r="I33" i="2"/>
  <c r="K32" i="2"/>
  <c r="J32" i="2"/>
  <c r="I32" i="2"/>
  <c r="K31" i="2"/>
  <c r="J31" i="2"/>
  <c r="I31" i="2"/>
  <c r="K30" i="2"/>
  <c r="J30" i="2"/>
  <c r="I30" i="2"/>
  <c r="K29" i="2"/>
  <c r="J29" i="2"/>
  <c r="I29" i="2"/>
  <c r="K28" i="2"/>
  <c r="J28" i="2"/>
  <c r="I28" i="2"/>
  <c r="K27" i="2"/>
  <c r="J27" i="2"/>
  <c r="I27" i="2"/>
  <c r="K26" i="2"/>
  <c r="J26" i="2"/>
  <c r="I26" i="2"/>
  <c r="K25" i="2"/>
  <c r="J25" i="2"/>
  <c r="I25" i="2"/>
  <c r="K24" i="2"/>
  <c r="J24" i="2"/>
  <c r="I24" i="2"/>
  <c r="K23" i="2"/>
  <c r="J23" i="2"/>
  <c r="I23" i="2"/>
  <c r="K22" i="2"/>
  <c r="J22" i="2"/>
  <c r="I22" i="2"/>
  <c r="K21" i="2"/>
  <c r="J21" i="2"/>
  <c r="I21" i="2"/>
  <c r="K20" i="2"/>
  <c r="J20" i="2"/>
  <c r="I20" i="2"/>
  <c r="K19" i="2"/>
  <c r="J19" i="2"/>
  <c r="I19" i="2"/>
  <c r="K18" i="2"/>
  <c r="J18" i="2"/>
  <c r="I18" i="2"/>
  <c r="K17" i="2"/>
  <c r="J17" i="2"/>
  <c r="I17" i="2"/>
  <c r="K16" i="2"/>
  <c r="J16" i="2"/>
  <c r="I16" i="2"/>
  <c r="K15" i="2"/>
  <c r="J15" i="2"/>
  <c r="I15" i="2"/>
  <c r="K14" i="2"/>
  <c r="J14" i="2"/>
  <c r="I14" i="2"/>
  <c r="K13" i="2"/>
  <c r="J13" i="2"/>
  <c r="I13" i="2"/>
  <c r="J12" i="2"/>
  <c r="K12" i="2"/>
  <c r="I12" i="2"/>
  <c r="E110" i="2"/>
  <c r="D110" i="2"/>
  <c r="C110" i="2"/>
  <c r="E109" i="2"/>
  <c r="D109" i="2"/>
  <c r="C109" i="2"/>
  <c r="E108" i="2"/>
  <c r="D108" i="2"/>
  <c r="C108" i="2"/>
  <c r="E107" i="2"/>
  <c r="D107" i="2"/>
  <c r="C107" i="2"/>
  <c r="E106" i="2"/>
  <c r="D106" i="2"/>
  <c r="C106" i="2"/>
  <c r="E105" i="2"/>
  <c r="D105" i="2"/>
  <c r="C105" i="2"/>
  <c r="E104" i="2"/>
  <c r="D104" i="2"/>
  <c r="C104" i="2"/>
  <c r="E103" i="2"/>
  <c r="D103" i="2"/>
  <c r="C103" i="2"/>
  <c r="E102" i="2"/>
  <c r="D102" i="2"/>
  <c r="C102" i="2"/>
  <c r="E101" i="2"/>
  <c r="D101" i="2"/>
  <c r="C101" i="2"/>
  <c r="E100" i="2"/>
  <c r="D100" i="2"/>
  <c r="C100" i="2"/>
  <c r="E99" i="2"/>
  <c r="D99" i="2"/>
  <c r="C99" i="2"/>
  <c r="E98" i="2"/>
  <c r="D98" i="2"/>
  <c r="C98" i="2"/>
  <c r="E97" i="2"/>
  <c r="D97" i="2"/>
  <c r="C97" i="2"/>
  <c r="E96" i="2"/>
  <c r="D96" i="2"/>
  <c r="C96" i="2"/>
  <c r="E95" i="2"/>
  <c r="D95" i="2"/>
  <c r="C95" i="2"/>
  <c r="E94" i="2"/>
  <c r="D94" i="2"/>
  <c r="C94" i="2"/>
  <c r="E93" i="2"/>
  <c r="D93" i="2"/>
  <c r="C93" i="2"/>
  <c r="E92" i="2"/>
  <c r="D92" i="2"/>
  <c r="C92" i="2"/>
  <c r="E91" i="2"/>
  <c r="D91" i="2"/>
  <c r="C91" i="2"/>
  <c r="E90" i="2"/>
  <c r="D90" i="2"/>
  <c r="C90" i="2"/>
  <c r="E89" i="2"/>
  <c r="D89" i="2"/>
  <c r="C89" i="2"/>
  <c r="E88" i="2"/>
  <c r="D88" i="2"/>
  <c r="C88" i="2"/>
  <c r="E87" i="2"/>
  <c r="D87" i="2"/>
  <c r="C87" i="2"/>
  <c r="E86" i="2"/>
  <c r="D86" i="2"/>
  <c r="C86" i="2"/>
  <c r="E85" i="2"/>
  <c r="D85" i="2"/>
  <c r="C85" i="2"/>
  <c r="E84" i="2"/>
  <c r="D84" i="2"/>
  <c r="C84" i="2"/>
  <c r="E83" i="2"/>
  <c r="D83" i="2"/>
  <c r="C83" i="2"/>
  <c r="E82" i="2"/>
  <c r="D82" i="2"/>
  <c r="C82" i="2"/>
  <c r="E81" i="2"/>
  <c r="D81" i="2"/>
  <c r="C81" i="2"/>
  <c r="E80" i="2"/>
  <c r="D80" i="2"/>
  <c r="C80" i="2"/>
  <c r="E79" i="2"/>
  <c r="D79" i="2"/>
  <c r="C79" i="2"/>
  <c r="E78" i="2"/>
  <c r="D78" i="2"/>
  <c r="C78" i="2"/>
  <c r="E77" i="2"/>
  <c r="D77" i="2"/>
  <c r="C77" i="2"/>
  <c r="E76" i="2"/>
  <c r="D76" i="2"/>
  <c r="C76" i="2"/>
  <c r="E75" i="2"/>
  <c r="D75" i="2"/>
  <c r="C75" i="2"/>
  <c r="E74" i="2"/>
  <c r="D74" i="2"/>
  <c r="C74" i="2"/>
  <c r="E73" i="2"/>
  <c r="D73" i="2"/>
  <c r="C73" i="2"/>
  <c r="E72" i="2"/>
  <c r="D72" i="2"/>
  <c r="C72" i="2"/>
  <c r="E71" i="2"/>
  <c r="D71" i="2"/>
  <c r="C71" i="2"/>
  <c r="E70" i="2"/>
  <c r="D70" i="2"/>
  <c r="C70" i="2"/>
  <c r="E69" i="2"/>
  <c r="D69" i="2"/>
  <c r="C69" i="2"/>
  <c r="E68" i="2"/>
  <c r="D68" i="2"/>
  <c r="C68" i="2"/>
  <c r="E67" i="2"/>
  <c r="D67" i="2"/>
  <c r="C67" i="2"/>
  <c r="E66" i="2"/>
  <c r="D66" i="2"/>
  <c r="C66" i="2"/>
  <c r="E65" i="2"/>
  <c r="D65" i="2"/>
  <c r="C65" i="2"/>
  <c r="E64" i="2"/>
  <c r="D64" i="2"/>
  <c r="C64" i="2"/>
  <c r="E63" i="2"/>
  <c r="D63" i="2"/>
  <c r="C63" i="2"/>
  <c r="E62" i="2"/>
  <c r="D62" i="2"/>
  <c r="C62" i="2"/>
  <c r="E61" i="2"/>
  <c r="D61" i="2"/>
  <c r="C61" i="2"/>
  <c r="E60" i="2"/>
  <c r="D60" i="2"/>
  <c r="C60" i="2"/>
  <c r="E59" i="2"/>
  <c r="D59" i="2"/>
  <c r="C59" i="2"/>
  <c r="E58" i="2"/>
  <c r="D58" i="2"/>
  <c r="C58" i="2"/>
  <c r="E57" i="2"/>
  <c r="D57" i="2"/>
  <c r="C57" i="2"/>
  <c r="E56" i="2"/>
  <c r="D56" i="2"/>
  <c r="C56" i="2"/>
  <c r="E55" i="2"/>
  <c r="D55" i="2"/>
  <c r="C55" i="2"/>
  <c r="E54" i="2"/>
  <c r="D54" i="2"/>
  <c r="C54" i="2"/>
  <c r="E53" i="2"/>
  <c r="D53" i="2"/>
  <c r="C53" i="2"/>
  <c r="E52" i="2"/>
  <c r="D52" i="2"/>
  <c r="C52" i="2"/>
  <c r="E51" i="2"/>
  <c r="D51" i="2"/>
  <c r="C51" i="2"/>
  <c r="E50" i="2"/>
  <c r="D50" i="2"/>
  <c r="C50" i="2"/>
  <c r="E49" i="2"/>
  <c r="D49" i="2"/>
  <c r="C49" i="2"/>
  <c r="E48" i="2"/>
  <c r="D48" i="2"/>
  <c r="C48" i="2"/>
  <c r="E47" i="2"/>
  <c r="D47" i="2"/>
  <c r="C47" i="2"/>
  <c r="E46" i="2"/>
  <c r="D46" i="2"/>
  <c r="C46" i="2"/>
  <c r="E45" i="2"/>
  <c r="D45" i="2"/>
  <c r="C45" i="2"/>
  <c r="E44" i="2"/>
  <c r="D44" i="2"/>
  <c r="C44" i="2"/>
  <c r="E43" i="2"/>
  <c r="D43" i="2"/>
  <c r="C43" i="2"/>
  <c r="E42" i="2"/>
  <c r="D42" i="2"/>
  <c r="C42" i="2"/>
  <c r="E41" i="2"/>
  <c r="D41" i="2"/>
  <c r="C41" i="2"/>
  <c r="E40" i="2"/>
  <c r="D40" i="2"/>
  <c r="C40" i="2"/>
  <c r="E39" i="2"/>
  <c r="D39" i="2"/>
  <c r="C39" i="2"/>
  <c r="E38" i="2"/>
  <c r="D38" i="2"/>
  <c r="C38" i="2"/>
  <c r="E37" i="2"/>
  <c r="D37" i="2"/>
  <c r="C37" i="2"/>
  <c r="E36" i="2"/>
  <c r="D36" i="2"/>
  <c r="C36" i="2"/>
  <c r="E35" i="2"/>
  <c r="D35" i="2"/>
  <c r="C35" i="2"/>
  <c r="E34" i="2"/>
  <c r="D34" i="2"/>
  <c r="C34" i="2"/>
  <c r="E33" i="2"/>
  <c r="D33" i="2"/>
  <c r="C33" i="2"/>
  <c r="E31" i="2"/>
  <c r="D31" i="2"/>
  <c r="C31" i="2"/>
  <c r="E30" i="2"/>
  <c r="D30" i="2"/>
  <c r="C30" i="2"/>
  <c r="E29" i="2"/>
  <c r="D29" i="2"/>
  <c r="C29" i="2"/>
  <c r="E28" i="2"/>
  <c r="D28" i="2"/>
  <c r="C28" i="2"/>
  <c r="E27" i="2"/>
  <c r="D27" i="2"/>
  <c r="C27" i="2"/>
  <c r="E26" i="2"/>
  <c r="D26" i="2"/>
  <c r="C26" i="2"/>
  <c r="E25" i="2"/>
  <c r="D25" i="2"/>
  <c r="C25" i="2"/>
  <c r="E24" i="2"/>
  <c r="D24" i="2"/>
  <c r="C24" i="2"/>
  <c r="E23" i="2"/>
  <c r="D23" i="2"/>
  <c r="C23" i="2"/>
  <c r="E22" i="2"/>
  <c r="D22" i="2"/>
  <c r="C22" i="2"/>
  <c r="E21" i="2"/>
  <c r="D21" i="2"/>
  <c r="C21" i="2"/>
  <c r="C20" i="2"/>
  <c r="E20" i="2"/>
  <c r="D20" i="2"/>
  <c r="E19" i="2"/>
  <c r="D19" i="2"/>
  <c r="C19" i="2"/>
  <c r="E18" i="2"/>
  <c r="D18" i="2"/>
  <c r="C18" i="2"/>
  <c r="E17" i="2"/>
  <c r="D17" i="2"/>
  <c r="C17" i="2"/>
  <c r="E16" i="2"/>
  <c r="D16" i="2"/>
  <c r="C16" i="2"/>
  <c r="E15" i="2"/>
  <c r="D15" i="2"/>
  <c r="C15" i="2"/>
  <c r="E14" i="2"/>
  <c r="D14" i="2"/>
  <c r="C14" i="2"/>
  <c r="E13" i="2"/>
  <c r="D13" i="2"/>
  <c r="C13" i="2"/>
  <c r="E12" i="2"/>
  <c r="D12" i="2"/>
  <c r="C12" i="2"/>
  <c r="E11" i="2"/>
  <c r="D11" i="2"/>
  <c r="C11" i="2"/>
  <c r="E10" i="2"/>
  <c r="D10" i="2"/>
  <c r="C10" i="2"/>
  <c r="E9" i="2"/>
  <c r="D9" i="2"/>
  <c r="C9" i="2"/>
  <c r="E8" i="2"/>
  <c r="D8" i="2"/>
  <c r="C8" i="2"/>
  <c r="E7" i="2"/>
  <c r="D7" i="2"/>
  <c r="C7" i="2"/>
  <c r="E5" i="2"/>
  <c r="D5" i="2"/>
  <c r="C5" i="2"/>
  <c r="E4" i="2"/>
  <c r="D4" i="2"/>
  <c r="C4" i="2"/>
  <c r="E3" i="2"/>
  <c r="D3" i="2"/>
  <c r="C3" i="2"/>
  <c r="E6" i="2"/>
  <c r="E32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M8" i="2"/>
  <c r="L8" i="2"/>
  <c r="K8" i="2"/>
  <c r="I8" i="2"/>
  <c r="H8" i="2"/>
  <c r="G8" i="2"/>
  <c r="P3" i="2"/>
  <c r="O3" i="2"/>
  <c r="B4" i="2" l="1"/>
  <c r="B3" i="2"/>
  <c r="B12" i="2"/>
  <c r="B10" i="2"/>
  <c r="B5" i="2"/>
  <c r="H12" i="2"/>
  <c r="B7" i="2"/>
  <c r="B8" i="2"/>
  <c r="B11" i="2"/>
  <c r="B9" i="2"/>
  <c r="H51" i="2"/>
  <c r="H50" i="2"/>
  <c r="H49" i="2"/>
  <c r="H48" i="2"/>
  <c r="H47" i="2"/>
  <c r="H46" i="2"/>
  <c r="H45" i="2"/>
  <c r="H52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N3" i="2"/>
  <c r="M3" i="2"/>
  <c r="L3" i="2"/>
  <c r="K3" i="2"/>
  <c r="I3" i="2"/>
  <c r="H3" i="2"/>
  <c r="G3" i="2"/>
  <c r="D6" i="2"/>
  <c r="C6" i="2"/>
  <c r="D32" i="2"/>
  <c r="C32" i="2"/>
  <c r="B6" i="2" l="1"/>
  <c r="B32" i="2"/>
</calcChain>
</file>

<file path=xl/sharedStrings.xml><?xml version="1.0" encoding="utf-8"?>
<sst xmlns="http://schemas.openxmlformats.org/spreadsheetml/2006/main" count="1039" uniqueCount="396">
  <si>
    <t>Email</t>
  </si>
  <si>
    <t>Sex</t>
  </si>
  <si>
    <t>Race</t>
  </si>
  <si>
    <t>Diagnosis</t>
  </si>
  <si>
    <t>Symptoms</t>
  </si>
  <si>
    <t>Proficiency</t>
  </si>
  <si>
    <t>Stress Style</t>
  </si>
  <si>
    <t>Practice Type</t>
  </si>
  <si>
    <t>Female</t>
  </si>
  <si>
    <t>White</t>
  </si>
  <si>
    <t>PCOS, other</t>
  </si>
  <si>
    <t/>
  </si>
  <si>
    <t>advanced</t>
  </si>
  <si>
    <t>rumination</t>
  </si>
  <si>
    <t>Male</t>
  </si>
  <si>
    <t>schizophrenia</t>
  </si>
  <si>
    <t>cardiac_unsp, chest_pain, compulsions</t>
  </si>
  <si>
    <t>intermediate</t>
  </si>
  <si>
    <t>journaling, breathwork, meditation</t>
  </si>
  <si>
    <t>Asian</t>
  </si>
  <si>
    <t>GAD, agoraphobia</t>
  </si>
  <si>
    <t>beginner</t>
  </si>
  <si>
    <t>rumination, repression, avoidance</t>
  </si>
  <si>
    <t>journaling, breathwork</t>
  </si>
  <si>
    <t>Black or African American</t>
  </si>
  <si>
    <t>none</t>
  </si>
  <si>
    <t>avoidance_gen</t>
  </si>
  <si>
    <t>journaling, breathwork, meditation, creative_art, mindfulness, guided_imagery, exercise, yoga, tai_chi, qi_gong, dance, music, social_support, CBT</t>
  </si>
  <si>
    <t>Hispanic or Latino</t>
  </si>
  <si>
    <t>anger, aggression, compulsive_eating, fatigue, irritable, anhedonia, overwhelmed, reduced_libido, skin_rash, trouble_relax</t>
  </si>
  <si>
    <t>breathwork, meditation, creative_art, mindfulness, guided_imagery, exercise, yoga, tai_chi, qi_gong, dance, music, social_support, CBT</t>
  </si>
  <si>
    <t>repression</t>
  </si>
  <si>
    <t>weight_changes</t>
  </si>
  <si>
    <t>Other</t>
  </si>
  <si>
    <t>GAD, panic_disorder, PTSD</t>
  </si>
  <si>
    <t>breathwork, mindfulness, exercise, yoga, tai_chi, qi_gong, dance, music, social_support, CBT</t>
  </si>
  <si>
    <t>withdrawal</t>
  </si>
  <si>
    <t>avoidance</t>
  </si>
  <si>
    <t>GAD</t>
  </si>
  <si>
    <t>anxiety, attention</t>
  </si>
  <si>
    <t>journaling, breathwork, meditation, creative_art, guided_imagery, exercise, yoga, tai_chi, qi_gong, dance, music, social_support, CBT</t>
  </si>
  <si>
    <t>autoimmune_unsp, insomnia, PTSD</t>
  </si>
  <si>
    <t>headaches, insomnia, nervous</t>
  </si>
  <si>
    <t>journaling, breathwork, meditation, mindfulness, guided_imagery, exercise, yoga, tai_chi, qi_gong, music, social_support</t>
  </si>
  <si>
    <t>fibromyalgia, insomnia</t>
  </si>
  <si>
    <t>anxiety, agitation, attention, insomnia, irritable, muscle_tension, sleep_disturb, trouble_relax, upset_stomach</t>
  </si>
  <si>
    <t>breathwork, meditation, creative_art, mindfulness, guided_imagery, exercise, yoga, tai_chi, qi_gong, dance, music, CBT</t>
  </si>
  <si>
    <t>MDD</t>
  </si>
  <si>
    <t>anxiety, avoidance_social, avoidance_presentations, attention, escape, fear_future, hopelessness, low_self_esteem, neglect_respon, overwhelmed</t>
  </si>
  <si>
    <t>GAD, ADD, MDD, substance_abuse</t>
  </si>
  <si>
    <t>avoidance_gen, agitation, attention, body_image, control, craving, escape, low_self_esteem, relationship_issues, worthlessness</t>
  </si>
  <si>
    <t>other</t>
  </si>
  <si>
    <t>anxiety, emptiness, rapid_heartbeat</t>
  </si>
  <si>
    <t>GAD, cancer_unsp, chronic_stress, insomnia, sexual_disorder</t>
  </si>
  <si>
    <t>anxiety, chronic_stress, depression, fear_gen, fear_dying, hopelessness, insomnia, pessimism, trouble_relax</t>
  </si>
  <si>
    <t>journaling, breathwork, meditation, creative_art, mindfulness, guided_imagery, exercise, yoga, tai_chi, qi_gong, social_support, CBT</t>
  </si>
  <si>
    <t>IBD</t>
  </si>
  <si>
    <t>avoidance_gen, anger, attention, body_image, fatigue, irritable, low_self_esteem, obsessions_weight, relationship_issues</t>
  </si>
  <si>
    <t>chronic_pain, IBS</t>
  </si>
  <si>
    <t>avoidance_social, fear_future, indecisive, overwhelmed, restlessness</t>
  </si>
  <si>
    <t>rumination, avoidance</t>
  </si>
  <si>
    <t>GAD, PTSD</t>
  </si>
  <si>
    <t>anxiety, avoidance_social, body_image, fear_judgment, nervous, productivity, trouble_relax</t>
  </si>
  <si>
    <t>GAD, asthma, chronic_pain, chronic_stress, fibromyalgia, insomnia</t>
  </si>
  <si>
    <t>anxiety, attention, body_image, chronic_pain, communication, chronic_stress, disorganized, obsessions_weight, relationship_issues, sadness</t>
  </si>
  <si>
    <t>anxiety, body_image, fatigue, overwhelmed</t>
  </si>
  <si>
    <t>journaling, breathwork, meditation, mindfulness, exercise, yoga, dance, music, social_support</t>
  </si>
  <si>
    <t>anxiety, avoidance_social, avoidance_meals, body_image, depression, fear_future, anhedonia, low_self_esteem, risk_taking</t>
  </si>
  <si>
    <t>avoidance_gen, attention, headaches, insomnia, overwhelmed, productivity, reduced_libido, relationship_issues</t>
  </si>
  <si>
    <t>breathwork, meditation, creative_art, mindfulness, guided_imagery, exercise, yoga, tai_chi, qi_gong, music</t>
  </si>
  <si>
    <t>GAD, ADD, bereavement, MDD</t>
  </si>
  <si>
    <t>anxiety, attention, body_image, depression, excess_worry, fidget, fatigue, low_self_esteem, muscle_tension, restlessness</t>
  </si>
  <si>
    <t>GAD, autoimmune_unsp, chronic_pain, chronic_stress</t>
  </si>
  <si>
    <t>anxiety, attention, chronic_pain, chronic_stress, excess_worry, fatigue, forgetful, sleep_disturb, trouble_relax, weight_changes</t>
  </si>
  <si>
    <t>GAD, ADD, migraines, OCD, PTSD</t>
  </si>
  <si>
    <t>avoidance_gen, anger, appetite, anxiety, avoidance_social, avoidance_presentations, aggression, attention, acceptance, nervous</t>
  </si>
  <si>
    <t>journaling, meditation, mindfulness, exercise, yoga, tai_chi, qi_gong, dance, music, social_support, CBT</t>
  </si>
  <si>
    <t>chronic_pain, chronic_stress, IBS</t>
  </si>
  <si>
    <t>attention, chronic_pain, chronic_stress, fatigue, hypervigilance, irritable, muscle_tension, overwhelmed, skin_rash, thin_hair</t>
  </si>
  <si>
    <t>breathwork, meditation, guided_imagery, exercise, yoga, music</t>
  </si>
  <si>
    <t>attention, checking_behav, fatigue, fear_judgment, indecisive, muscle_tension, not_eating, obsessions_weight</t>
  </si>
  <si>
    <t>journaling, breathwork, meditation, creative_art, mindfulness, exercise, yoga, tai_chi, qi_gong, dance, music, social_support, CBT</t>
  </si>
  <si>
    <t>hypoglycemia</t>
  </si>
  <si>
    <t>anxiety, chest_pain, headaches, muscle_tension, overwhelmed, short_breath, sleep_disturb, sadness</t>
  </si>
  <si>
    <t>breathwork, meditation, creative_art, mindfulness, exercise, yoga, tai_chi, qi_gong, dance, music, social_support, CBT</t>
  </si>
  <si>
    <t>anxiety, attention, fatigue, insomnia, irritable, restlessness</t>
  </si>
  <si>
    <t>GAD, bipolar, endometriosis, PTSD</t>
  </si>
  <si>
    <t>appetite, boredom, chest_pain, low_self_esteem, rumination, racing_thoughts, short_breath</t>
  </si>
  <si>
    <t>journaling, breathwork, meditation, creative_art, mindfulness, guided_imagery, tai_chi, qi_gong, music, social_support</t>
  </si>
  <si>
    <t>endometriosis</t>
  </si>
  <si>
    <t>anxiety, body_image, hopelessness, indecisive, anhedonia, low_self_esteem, muscle_tension, overwhelmed, worthlessness</t>
  </si>
  <si>
    <t>GAD, chronic_pain, chronic_stress, PTSD</t>
  </si>
  <si>
    <t>anger, anxiety, avoidance_social, aggression, agitation, attention, impaired_memory, overwhelmed, short_breath, sleep_disturb</t>
  </si>
  <si>
    <t>ADD</t>
  </si>
  <si>
    <t>anxiety, agitation, attention, chronic_pain, chronic_stress, fidget, fatigue, irritable, overwhelmed, upset_stomach</t>
  </si>
  <si>
    <t>GAD, bipolar, chronic_stress, dissociative_unsp, IBD, insomnia, PTSD</t>
  </si>
  <si>
    <t>anxiety</t>
  </si>
  <si>
    <t>breathwork, creative_art, guided_imagery, music, social_support</t>
  </si>
  <si>
    <t>anger, anxiety, avoidance_social, attention, chronic_pain, depression, excess_crying, fear_judgment, flashbacks, muscle_tension</t>
  </si>
  <si>
    <t>avoidance_gen, anxiety, fidget, muscle_tension, numbing, overwhelmed, productivity</t>
  </si>
  <si>
    <t>appetite, fatigue, forgetful, headaches, impaired_memory, anhedonia, overwhelmed, productivity, relationship_issues, sleep_disturb</t>
  </si>
  <si>
    <t>asthma, migraines, endometriosis, MDD, other</t>
  </si>
  <si>
    <t>agitation, attention, chronic_pain, chronic_stress, depression, fatigue, headaches, insomnia, irritable, anhedonia</t>
  </si>
  <si>
    <t>breathwork, meditation, tai_chi, qi_gong, dance, music, social_support</t>
  </si>
  <si>
    <t>anxiety, avoidance_social, chronic_stress, escape, fatigue, hypervigilance, headaches, overwhelmed, substance_use, trouble_relax</t>
  </si>
  <si>
    <t>breathwork, meditation, exercise, yoga, tai_chi, qi_gong, dance, music, social_support, CBT</t>
  </si>
  <si>
    <t>GAD, ADHD, chronic_stress, MDD, substance_abuse</t>
  </si>
  <si>
    <t>anxiety, catastrophizing, depression, excess_worry, fear_future, forgetful, low_self_esteem, nervous, pessimism, rumination</t>
  </si>
  <si>
    <t>breathwork, meditation, creative_art, mindfulness, guided_imagery, exercise, tai_chi, qi_gong, dance, music, social_support, CBT</t>
  </si>
  <si>
    <t>anxiety, avoidance_social, catastrophizing, depression, excess_worry, headaches, insomnia, irritable, indecisive, rumination</t>
  </si>
  <si>
    <t>avoidance_memories, depression, detachment, hopelessness, relationship_issues</t>
  </si>
  <si>
    <t>avoidance_gen, anger, anxiety, avoidance_social, attention, disorganized, fear_judgment, indecisive, sleep_disturb, trouble_relax</t>
  </si>
  <si>
    <t>depression</t>
  </si>
  <si>
    <t>Total</t>
  </si>
  <si>
    <t xml:space="preserve">Male </t>
  </si>
  <si>
    <t>Others</t>
  </si>
  <si>
    <t>Gender</t>
  </si>
  <si>
    <t>Alaskan or Native American</t>
  </si>
  <si>
    <t>Native Hawaiian or Other Pacific Islander</t>
  </si>
  <si>
    <t>CBT</t>
  </si>
  <si>
    <t>journaling</t>
  </si>
  <si>
    <t>breathwork</t>
  </si>
  <si>
    <t>meditation</t>
  </si>
  <si>
    <t>creative_art</t>
  </si>
  <si>
    <t>mindfulness</t>
  </si>
  <si>
    <t>guided_imagery</t>
  </si>
  <si>
    <t>exercise</t>
  </si>
  <si>
    <t>yoga</t>
  </si>
  <si>
    <t>tai_chi</t>
  </si>
  <si>
    <t>qi_gong</t>
  </si>
  <si>
    <t>dance</t>
  </si>
  <si>
    <t>music</t>
  </si>
  <si>
    <t>social_support</t>
  </si>
  <si>
    <t>diagnosis</t>
  </si>
  <si>
    <t>anger</t>
  </si>
  <si>
    <t>appetite</t>
  </si>
  <si>
    <t>avoidance_social</t>
  </si>
  <si>
    <t>avoidance_presentations</t>
  </si>
  <si>
    <t>avoidance_memories</t>
  </si>
  <si>
    <t>avoidance_meals</t>
  </si>
  <si>
    <t>aggression</t>
  </si>
  <si>
    <t>agitation</t>
  </si>
  <si>
    <t>attention</t>
  </si>
  <si>
    <t>agoraphobia</t>
  </si>
  <si>
    <t>acceptance</t>
  </si>
  <si>
    <t>anorexia</t>
  </si>
  <si>
    <t>body_image</t>
  </si>
  <si>
    <t>binge</t>
  </si>
  <si>
    <t>ADHD</t>
  </si>
  <si>
    <t>boredom</t>
  </si>
  <si>
    <t>adjustment_disorder</t>
  </si>
  <si>
    <t>blackouts</t>
  </si>
  <si>
    <t>asthma</t>
  </si>
  <si>
    <t>control</t>
  </si>
  <si>
    <t>arthritis</t>
  </si>
  <si>
    <t>autoimmune_unsp</t>
  </si>
  <si>
    <t>cardiac_unsp</t>
  </si>
  <si>
    <t>bulimia</t>
  </si>
  <si>
    <t>chest_pain</t>
  </si>
  <si>
    <t>bipolar</t>
  </si>
  <si>
    <t>compulsions</t>
  </si>
  <si>
    <t>bereavement</t>
  </si>
  <si>
    <t>checking_behav</t>
  </si>
  <si>
    <t>cancer_unsp</t>
  </si>
  <si>
    <t>counting_behav</t>
  </si>
  <si>
    <t>chronic_pain</t>
  </si>
  <si>
    <t>craving</t>
  </si>
  <si>
    <t>migraines</t>
  </si>
  <si>
    <t>confused_speech</t>
  </si>
  <si>
    <t>chronic_stress</t>
  </si>
  <si>
    <t>communication</t>
  </si>
  <si>
    <t>COPD</t>
  </si>
  <si>
    <t>compulsive_eating</t>
  </si>
  <si>
    <t>CVD</t>
  </si>
  <si>
    <t>catastrophizing</t>
  </si>
  <si>
    <t>dissociative_unsp</t>
  </si>
  <si>
    <t>dizziness</t>
  </si>
  <si>
    <t>diabetes</t>
  </si>
  <si>
    <t>detachment</t>
  </si>
  <si>
    <t>fibromyalgia</t>
  </si>
  <si>
    <t>disability</t>
  </si>
  <si>
    <t>HIV</t>
  </si>
  <si>
    <t>distress_memories</t>
  </si>
  <si>
    <t>delusion</t>
  </si>
  <si>
    <t>hypertension</t>
  </si>
  <si>
    <t>disorganized</t>
  </si>
  <si>
    <t>IBS</t>
  </si>
  <si>
    <t>disoriented</t>
  </si>
  <si>
    <t>depersonalization</t>
  </si>
  <si>
    <t>insomnia</t>
  </si>
  <si>
    <t>dissociation</t>
  </si>
  <si>
    <t>excess_crying</t>
  </si>
  <si>
    <t>OCD</t>
  </si>
  <si>
    <t>excess_worry</t>
  </si>
  <si>
    <t>obesity</t>
  </si>
  <si>
    <t>excess_sweat</t>
  </si>
  <si>
    <t>panic_disorder</t>
  </si>
  <si>
    <t>emptiness</t>
  </si>
  <si>
    <t>PTSD</t>
  </si>
  <si>
    <t>escape</t>
  </si>
  <si>
    <t>pelvic_inflam_disorder</t>
  </si>
  <si>
    <t>excess_dieting</t>
  </si>
  <si>
    <t>PCOS</t>
  </si>
  <si>
    <t>fidget</t>
  </si>
  <si>
    <t>phobia_unsp</t>
  </si>
  <si>
    <t>fear_future</t>
  </si>
  <si>
    <t>substance_abuse</t>
  </si>
  <si>
    <t>freq_sick</t>
  </si>
  <si>
    <t>fatigue</t>
  </si>
  <si>
    <t>social_phobia</t>
  </si>
  <si>
    <t>fear_gen</t>
  </si>
  <si>
    <t>sexual_disorder</t>
  </si>
  <si>
    <t>fear_leave_home</t>
  </si>
  <si>
    <t>fear_crowds</t>
  </si>
  <si>
    <t>fear_judgment</t>
  </si>
  <si>
    <t>flashbacks</t>
  </si>
  <si>
    <t>forgetful</t>
  </si>
  <si>
    <t>hypervigilance</t>
  </si>
  <si>
    <t>headaches</t>
  </si>
  <si>
    <t>hopelessness</t>
  </si>
  <si>
    <t>hyperactive</t>
  </si>
  <si>
    <t>hypersexual</t>
  </si>
  <si>
    <t>hallucinations</t>
  </si>
  <si>
    <t>irritable</t>
  </si>
  <si>
    <t>intrusive_thoughts</t>
  </si>
  <si>
    <t>impulsive</t>
  </si>
  <si>
    <t>indecisive</t>
  </si>
  <si>
    <t>impaired_memory</t>
  </si>
  <si>
    <t>anhedonia</t>
  </si>
  <si>
    <t>lying</t>
  </si>
  <si>
    <t>low_self_esteem</t>
  </si>
  <si>
    <t>muscle tension</t>
  </si>
  <si>
    <t>mania</t>
  </si>
  <si>
    <t>nervous</t>
  </si>
  <si>
    <t>numbing</t>
  </si>
  <si>
    <t>neglect_respon</t>
  </si>
  <si>
    <t>not_eating</t>
  </si>
  <si>
    <t>overwhelmed</t>
  </si>
  <si>
    <t>obsessions</t>
  </si>
  <si>
    <t>obsessions_weight</t>
  </si>
  <si>
    <t>panic_attack</t>
  </si>
  <si>
    <t>pessimism</t>
  </si>
  <si>
    <t>productivity</t>
  </si>
  <si>
    <t>paranoia</t>
  </si>
  <si>
    <t>nightmares</t>
  </si>
  <si>
    <t>restlessness</t>
  </si>
  <si>
    <t>rapid_heartbeat</t>
  </si>
  <si>
    <t>reduced_libido</t>
  </si>
  <si>
    <t>ritualistic</t>
  </si>
  <si>
    <t>racing_thoughts</t>
  </si>
  <si>
    <t>risk_taking</t>
  </si>
  <si>
    <t>rapid_speech</t>
  </si>
  <si>
    <t>relationship_issues</t>
  </si>
  <si>
    <t>short_breath</t>
  </si>
  <si>
    <t>skin_rash</t>
  </si>
  <si>
    <t>self_harm</t>
  </si>
  <si>
    <t>self_blame</t>
  </si>
  <si>
    <t>sleep_disturb</t>
  </si>
  <si>
    <t>superiority</t>
  </si>
  <si>
    <t>secrecy</t>
  </si>
  <si>
    <t>substance_use</t>
  </si>
  <si>
    <t>sadness</t>
  </si>
  <si>
    <t>trouble_relax</t>
  </si>
  <si>
    <t>thin_hair</t>
  </si>
  <si>
    <t>tolerance</t>
  </si>
  <si>
    <t>upset_stomach</t>
  </si>
  <si>
    <t>worthlessness</t>
  </si>
  <si>
    <t>autoimmune_unsp, migraines, endometriosis, PTSD</t>
  </si>
  <si>
    <t>appetite, agitation, dizziness, depression, fear_future, freq_sick, headaches, upset_stomach</t>
  </si>
  <si>
    <t>journaling, breathwork, meditation, creative_art, mindfulness, guided_imagery, exercise, yoga, tai_chi, qi_gong, dance</t>
  </si>
  <si>
    <t>GAD, phobia_unsp</t>
  </si>
  <si>
    <t>anger, anxiety, agitation, disorganized, forgetful, hypervigilance, neglect_respon, overwhelmed, productivity, rumination</t>
  </si>
  <si>
    <t>GAD, arthritis, bipolar, chronic_pain</t>
  </si>
  <si>
    <t>chronic_pain, fear_crowds, fear_judgment, hypervigilance, muscle_tension, numbing, not_eating, overwhelmed</t>
  </si>
  <si>
    <t>journaling, breathwork, meditation, creative_art, mindfulness, guided_imagery, yoga, tai_chi, qi_gong, dance, music, social_support</t>
  </si>
  <si>
    <t>GAD, ADD, adjustment_disorder, migraines, MDD</t>
  </si>
  <si>
    <t>agitation, attention, body_image, chronic_pain, escape, fatigue, impaired_memory, muscle_tension, neglect_respon, productivity</t>
  </si>
  <si>
    <t>journaling, breathwork, meditation, creative_art, mindfulness, guided_imagery, exercise, yoga, tai_chi, qi_gong, dance, music, CBT</t>
  </si>
  <si>
    <t>I do not wish to provide this information</t>
  </si>
  <si>
    <t>asthma, other</t>
  </si>
  <si>
    <t>body_image, excess_worry, fear_judgment, muscle_tension, overwhelmed, skin_rash</t>
  </si>
  <si>
    <t>rumination, repression</t>
  </si>
  <si>
    <t>GAD, other</t>
  </si>
  <si>
    <t>anxiety, attention, communication, depression, disorganized, emptiness, fatigue, forgetful, hopelessness, indecisive</t>
  </si>
  <si>
    <t>journaling, breathwork, meditation, creative_art, mindfulness, guided_imagery, exercise, tai_chi, qi_gong, dance, music, social_support, CBT</t>
  </si>
  <si>
    <t>avoidance_social, body_image, compulsive_eating, dissociation, muscle_tension, reduced_libido, self_blame, trouble_relax, upset_stomach</t>
  </si>
  <si>
    <t>anxiety, craving, excess_worry, impulsive, indecisive, nervous, restlessness, trouble_relax</t>
  </si>
  <si>
    <t>journaling, breathwork, meditation, creative_art, mindfulness, guided_imagery, yoga, tai_chi, qi_gong, dance, music, social_support, CBT</t>
  </si>
  <si>
    <t>GAD, bipolar, migraines, chronic_stress, MDD, PTSD, substance_abuse, other</t>
  </si>
  <si>
    <t>anger, anxiety, aggression, body_image, depression, emptiness, flashbacks, hypervigilance, mania, reduced_libido</t>
  </si>
  <si>
    <t>breathwork, creative_art, exercise, dance, music, social_support, CBT</t>
  </si>
  <si>
    <t>MDD, PCOS</t>
  </si>
  <si>
    <t>anxiety, depression, excess_worry, emptiness, fatigue, irritable, impaired_memory, low_self_esteem, reduced_libido, relationship_issues</t>
  </si>
  <si>
    <t>journaling, breathwork, creative_art, exercise, yoga, tai_chi, qi_gong, dance, music, social_support</t>
  </si>
  <si>
    <t>body_image, distress_memories</t>
  </si>
  <si>
    <t>journaling, breathwork, meditation, creative_art, mindfulness, guided_imagery, exercise, yoga, tai_chi, dance, music, social_support, CBT</t>
  </si>
  <si>
    <t>chronic_stress, detachment, excess_worry, escape, fatigue, headaches, numbing, restlessness, rumination, trouble_relax</t>
  </si>
  <si>
    <t>GAD, MDD, PTSD</t>
  </si>
  <si>
    <t>anger, body_image, binge, dissociation, excess_crying, emptiness, insomnia, intrusive_thoughts, muscle_tension, rumination</t>
  </si>
  <si>
    <t>journaling, breathwork, creative_art, mindfulness, tai_chi, qi_gong, dance, music, social_support</t>
  </si>
  <si>
    <t>avoidance_gen, anxiety, avoidance_social, acceptance, control, checking_behav, fear_judgment, anhedonia, muscle_tension, trouble_relax</t>
  </si>
  <si>
    <t>journaling, breathwork, creative_art, mindfulness, guided_imagery, exercise, tai_chi, qi_gong, dance, music, social_support, CBT</t>
  </si>
  <si>
    <t>anger, anxiety, avoidance_social, avoidance_memories, acceptance, chronic_pain, distress_memories, excess_worry, fear_future, hopelessness</t>
  </si>
  <si>
    <t>GAD, ADHD</t>
  </si>
  <si>
    <t>anxiety, distress_memories, excess_worry, fear_future, hopelessness, anhedonia, nervous, not_eating, overwhelmed, sadness</t>
  </si>
  <si>
    <t>journaling, breathwork, meditation, creative_art, mindfulness, guided_imagery, exercise, yoga, tai_chi, qi_gong, dance, music, social_support</t>
  </si>
  <si>
    <t>anxiety, avoidance_social, attention, boredom, compulsive_eating, dizziness, indecisive</t>
  </si>
  <si>
    <t>avoidance_social, attention, binge, boredom, checking_behav, compulsive_eating, depression, detachment, distress_memories</t>
  </si>
  <si>
    <t>anxiety, agitation, control, detachment, headaches, anhedonia</t>
  </si>
  <si>
    <t>journaling, breathwork, meditation, creative_art, mindfulness, yoga, tai_chi, qi_gong, dance, social_support, CBT</t>
  </si>
  <si>
    <t>GAD, MDD, obesity</t>
  </si>
  <si>
    <t>avoidance_gen, anxiety, acceptance, body_image, binge, chronic_stress, depression, excess_worry, escape, fatigue</t>
  </si>
  <si>
    <t>GAD, ADHD, MDD</t>
  </si>
  <si>
    <t>avoidance_gen, attention, depression, detachment, disorganized, dissociation, emptiness, fatigue, hopelessness, indecisive</t>
  </si>
  <si>
    <t>mindfulness, guided_imagery, exercise, yoga, tai_chi, qi_gong, dance, music, social_support, CBT</t>
  </si>
  <si>
    <t>anxiety, headaches, insomnia, reduced_libido, sleep_disturb, upset_stomach</t>
  </si>
  <si>
    <t>GAD, anorexia , ADD, ADHD, chronic_pain, chronic_stress, fibromyalgia, IBS, insomnia, MDD, OCD, panic_disorder, PTSD, other</t>
  </si>
  <si>
    <t>avoidance_gen, anger, appetite, anxiety, avoidance_social, avoidance_memories, agitation, attention, acceptance, body_image</t>
  </si>
  <si>
    <t>MDD, other</t>
  </si>
  <si>
    <t>attention, chest_pain, depression, detachment, disoriented, depersonalization, emptiness, fatigue, forgetful</t>
  </si>
  <si>
    <t>journaling, creative_art, exercise, tai_chi, qi_gong, music, social_support, CBT</t>
  </si>
  <si>
    <t>chronic_pain, upset_stomach</t>
  </si>
  <si>
    <t>anxiety, craving, fear_future</t>
  </si>
  <si>
    <t>journaling, breathwork, meditation, creative_art, mindfulness, guided_imagery</t>
  </si>
  <si>
    <t>anorexia , ADHD, bereavement, cancer_unsp, CVD</t>
  </si>
  <si>
    <t>anger, craving</t>
  </si>
  <si>
    <t>journaling, breathwork, meditation, creative_art, mindfulness, guided_imagery, exercise, yoga, tai_chi, social_support, CBT</t>
  </si>
  <si>
    <t>acceptance, body_image, chronic_pain, irritable, low_self_esteem, worthlessness</t>
  </si>
  <si>
    <t>meditation, creative_art, mindfulness, guided_imagery, exercise, tai_chi, qi_gong, dance, music, social_support, CBT</t>
  </si>
  <si>
    <t>avoidance_memories, body_image, distress_memories, excess_worry, fear_judgment, intrusive_thoughts, rumination</t>
  </si>
  <si>
    <t>journaling, breathwork, meditation, exercise, social_support</t>
  </si>
  <si>
    <t>Black or African American, Native Hawaiian or Other Pacific Islander, White</t>
  </si>
  <si>
    <t>avoidance_gen, anger, anxiety, avoidance_social, hopelessness, indecisive, low_self_esteem, pessimism, productivity</t>
  </si>
  <si>
    <t>journaling, creative_art, mindfulness, guided_imagery, exercise, yoga, tai_chi, qi_gong, dance, music, CBT</t>
  </si>
  <si>
    <t>insomnia, other</t>
  </si>
  <si>
    <t>anger, avoidance_social, compulsive_eating, fatigue, impaired_memory, numbing, neglect_respon, overwhelmed, reduced_libido, sleep_disturb</t>
  </si>
  <si>
    <t>journaling, breathwork, meditation, creative_art, mindfulness, guided_imagery, exercise, yoga, tai_chi, qi_gong, dance, music</t>
  </si>
  <si>
    <t>anxiety, aggression, disoriented, impulsive, panic_attack, short_breath</t>
  </si>
  <si>
    <t>journaling, meditation, creative_art, mindfulness, guided_imagery, exercise, tai_chi, qi_gong, dance, music, social_support, CBT</t>
  </si>
  <si>
    <t>chronic_pain, indecisive, muscle_tension, productivity, skin_rash</t>
  </si>
  <si>
    <t>journaling, breathwork, meditation, mindfulness, guided_imagery, exercise, yoga, music, social_support</t>
  </si>
  <si>
    <t>asthma, chronic_stress, MDD, sexual_disorder</t>
  </si>
  <si>
    <t>anxiety, chest_pain, compulsive_eating, chronic_stress, fear_future, fatigue, overwhelmed, reduced_libido, skin_rash, trouble_relax</t>
  </si>
  <si>
    <t>journaling, meditation, creative_art, mindfulness, guided_imagery, exercise, yoga, tai_chi, qi_gong, dance, music, social_support</t>
  </si>
  <si>
    <t>journaling, breathwork, meditation, mindfulness, exercise, yoga, tai_chi, qi_gong, dance, music, social_support, CBT</t>
  </si>
  <si>
    <t>anger, anxiety, attention, chronic_stress, dizziness, fatigue, insomnia, irritable, indecisive, short_breath</t>
  </si>
  <si>
    <t>breathwork, meditation, creative_art, mindfulness, guided_imagery, exercise, yoga, qi_gong, dance, music, social_support, CBT</t>
  </si>
  <si>
    <t>Your employer</t>
  </si>
  <si>
    <t>Asian, White</t>
  </si>
  <si>
    <t>Your school</t>
  </si>
  <si>
    <t>anxiety, avoidance_social, compulsive_eating, chronic_stress, fatigue, neglect_respon, not_eating, overwhelmed, restlessness, sleep_disturb</t>
  </si>
  <si>
    <t>breathwork, meditation, creative_art, mindfulness, exercise, yoga, tai_chi, qi_gong, music, social_support</t>
  </si>
  <si>
    <t>avoidance_gen, anxiety, avoidance_memories, distress_memories, disorganized, excess_worry</t>
  </si>
  <si>
    <t>creative_art, mindfulness, guided_imagery, exercise, yoga, tai_chi, qi_gong, dance, music, social_support, CBT</t>
  </si>
  <si>
    <t>GAD, MDD</t>
  </si>
  <si>
    <t>compulsions, depression, overwhelmed</t>
  </si>
  <si>
    <t>journaling, breathwork, meditation, creative_art, mindfulness, guided_imagery, exercise, yoga, music, social_support, CBT</t>
  </si>
  <si>
    <t>nervous, overwhelmed, skin_rash</t>
  </si>
  <si>
    <t>boredom, catastrophizing, pessimism, productivity, self_blame</t>
  </si>
  <si>
    <t>anxiety, dizziness, depression, dissociation, fatigue, forgetful, impaired_memory, reduced_libido</t>
  </si>
  <si>
    <t>body_image, binge, craving, compulsive_eating</t>
  </si>
  <si>
    <t>ADD, autoimmune_unsp, chronic_stress, endometriosis</t>
  </si>
  <si>
    <t>anxiety, attention, compulsive_eating, chronic_stress, depression, disability, fear_future, fatigue, freq_sick</t>
  </si>
  <si>
    <t>breathwork, meditation, creative_art, mindfulness, guided_imagery, exercise, yoga, tai_chi, qi_gong, dance, music, social_support</t>
  </si>
  <si>
    <t>anxiety, excess_worry, fatigue, fear_gen, fear_dying, headaches, muscle_tension, nervous, overwhelmed</t>
  </si>
  <si>
    <t>journaling, breathwork, meditation, mindfulness, guided_imagery, exercise, yoga, tai_chi, qi_gong, dance, music, social_support, CBT</t>
  </si>
  <si>
    <t>bipolar, COPD, insomnia, obesity</t>
  </si>
  <si>
    <t>anxiety, attention, binge, depression, insomnia, muscle_tension, neglect_respon, overwhelmed, trouble_relax</t>
  </si>
  <si>
    <t>breathwork, meditation, creative_art, mindfulness, guided_imagery, exercise, dance, music, social_support, CBT</t>
  </si>
  <si>
    <t>Hispanic or Latino, White</t>
  </si>
  <si>
    <t>anxiety, agitation, body_image, dissociation, escape, freq_sick, overwhelmed, sadness</t>
  </si>
  <si>
    <t>chronic_pain, muscle_tension, overwhelmed, racing_thoughts, upset_stomach</t>
  </si>
  <si>
    <t>anger, appetite, attention, body_image, overwhelmed</t>
  </si>
  <si>
    <t>breathwork, meditation, mindfulness, guided_imagery, exercise, yoga, tai_chi, qi_gong, dance, music</t>
  </si>
  <si>
    <t>GAD, asthma, chronic_stress, fibromyalgia, MDD, other</t>
  </si>
  <si>
    <t>anxiety, body_image, depression, forgetful, impaired_memory, muscle_tension, reduced_libido, skin_rash, upset_stomach, weight_changes</t>
  </si>
  <si>
    <t>meditation, creative_art, mindfulness, exercise, yoga, tai_chi, qi_gong, dance, music, social_support, CBT</t>
  </si>
  <si>
    <t>anxiety, attention, chronic_stress, excess_worry, headaches, indecisive, impaired_memory, overwhelmed</t>
  </si>
  <si>
    <t>journaling, breathwork, meditation, mindfulness, guided_imagery, exercise, tai_chi, qi_gong, music, social_support, CBT</t>
  </si>
  <si>
    <t>anger, body_image, depression, overwhelmed, restlessness, rumination, sadness</t>
  </si>
  <si>
    <t>avoidance_gen, anxiety, aggression, disorganized, overwhelmed, racing_thoughts, self_blame</t>
  </si>
  <si>
    <t>GAD, asthma, autoimmune_unsp, chronic_pain, IBS</t>
  </si>
  <si>
    <t>anxiety, attention, binge, chronic_pain, cardiac_unsp, fatigue, freq_sick, intrusive_thoughts, muscle_tension, productivity</t>
  </si>
  <si>
    <t>breathwork, creative_art, mindfulness, guided_imagery, exercise, yoga, tai_chi, qi_gong, dance, music, social_support, CBT</t>
  </si>
  <si>
    <t>GAD, bulimia, substance_abuse</t>
  </si>
  <si>
    <t>appetite, chronic_pain</t>
  </si>
  <si>
    <t>avoidance_gen, anger, anxiety, avoidance_social, agitation, attention, body_image, chronic_stress, disorganized, excess_worry</t>
  </si>
  <si>
    <t>CVD, insomnia, other</t>
  </si>
  <si>
    <t>depression, insomnia</t>
  </si>
  <si>
    <t>Your healthcare provider or doctor</t>
  </si>
  <si>
    <t>GAD, none</t>
  </si>
  <si>
    <t>how do they join neolth</t>
  </si>
  <si>
    <t>How do they join Neolth?</t>
  </si>
  <si>
    <t>School</t>
  </si>
  <si>
    <t>Employer</t>
  </si>
  <si>
    <t>Healthcare provider or doctor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</si>
</sst>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 applyNumberFormat="1"/>
    <xf numFmtId="0" fontId="0" fillId="0" borderId="1" xfId="0" applyNumberFormat="1" applyBorder="1"/>
    <xf numFmtId="0" fontId="1" fillId="0" borderId="1" xfId="0" applyNumberFormat="1" applyFont="1" applyBorder="1" applyAlignment="1">
      <alignment horizontal="center"/>
    </xf>
    <xf numFmtId="0" fontId="0" fillId="0" borderId="0" xfId="0" applyNumberFormat="1" applyBorder="1"/>
    <xf numFmtId="0" fontId="0" fillId="0" borderId="2" xfId="0" applyNumberFormat="1" applyBorder="1"/>
    <xf numFmtId="0" fontId="1" fillId="0" borderId="0" xfId="0" applyNumberFormat="1" applyFont="1" applyBorder="1" applyAlignment="1"/>
    <xf numFmtId="0" fontId="2" fillId="0" borderId="0" xfId="0" applyNumberFormat="1" applyFont="1" applyAlignment="1">
      <alignment horizontal="left" vertical="center" indent="1"/>
    </xf>
    <xf numFmtId="0" fontId="0" fillId="0" borderId="0" xfId="0"/>
    <xf numFmtId="0" fontId="1" fillId="0" borderId="0" xfId="0" applyNumberFormat="1" applyFont="1" applyBorder="1" applyAlignment="1">
      <alignment horizontal="center"/>
    </xf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ED0-49BA-B267-D2E587FA7A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ED0-49BA-B267-D2E587FA7A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ED0-49BA-B267-D2E587FA7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Formulas!$G$2:$I$2</c:f>
              <c:strCache>
                <c:ptCount val="3"/>
                <c:pt idx="0">
                  <c:v>Male </c:v>
                </c:pt>
                <c:pt idx="1">
                  <c:v>Female</c:v>
                </c:pt>
                <c:pt idx="2">
                  <c:v>Others</c:v>
                </c:pt>
              </c:strCache>
            </c:strRef>
          </c:cat>
          <c:val>
            <c:numRef>
              <c:f>Formulas!$G$3:$I$3</c:f>
              <c:numCache>
                <c:formatCode>General</c:formatCode>
                <c:ptCount val="3"/>
                <c:pt idx="0">
                  <c:v>23</c:v>
                </c:pt>
                <c:pt idx="1">
                  <c:v>74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D0-49BA-B267-D2E587FA7A4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89B-4F25-B024-4FB692503C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89B-4F25-B024-4FB692503C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89B-4F25-B024-4FB692503C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89B-4F25-B024-4FB692503C5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89B-4F25-B024-4FB692503C5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89B-4F25-B024-4FB692503C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Formulas!$K$2:$P$2</c:f>
              <c:strCache>
                <c:ptCount val="6"/>
                <c:pt idx="0">
                  <c:v>White</c:v>
                </c:pt>
                <c:pt idx="1">
                  <c:v>Asian</c:v>
                </c:pt>
                <c:pt idx="2">
                  <c:v>Black or African American</c:v>
                </c:pt>
                <c:pt idx="3">
                  <c:v>Hispanic or Latino</c:v>
                </c:pt>
                <c:pt idx="4">
                  <c:v>Alaskan or Native American</c:v>
                </c:pt>
                <c:pt idx="5">
                  <c:v>Native Hawaiian or Other Pacific Islander</c:v>
                </c:pt>
              </c:strCache>
            </c:strRef>
          </c:cat>
          <c:val>
            <c:numRef>
              <c:f>Formulas!$K$3:$P$3</c:f>
              <c:numCache>
                <c:formatCode>General</c:formatCode>
                <c:ptCount val="6"/>
                <c:pt idx="0">
                  <c:v>61</c:v>
                </c:pt>
                <c:pt idx="1">
                  <c:v>13</c:v>
                </c:pt>
                <c:pt idx="2">
                  <c:v>7</c:v>
                </c:pt>
                <c:pt idx="3">
                  <c:v>12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89B-4F25-B024-4FB692503C5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495-47D3-BA73-BFF496F8DD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495-47D3-BA73-BFF496F8DD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495-47D3-BA73-BFF496F8DD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Formulas!$G$7:$I$7</c:f>
              <c:strCache>
                <c:ptCount val="3"/>
                <c:pt idx="0">
                  <c:v>advanced</c:v>
                </c:pt>
                <c:pt idx="1">
                  <c:v>intermediate</c:v>
                </c:pt>
                <c:pt idx="2">
                  <c:v>beginner</c:v>
                </c:pt>
              </c:strCache>
            </c:strRef>
          </c:cat>
          <c:val>
            <c:numRef>
              <c:f>Formulas!$G$8:$I$8</c:f>
              <c:numCache>
                <c:formatCode>General</c:formatCode>
                <c:ptCount val="3"/>
                <c:pt idx="0">
                  <c:v>28</c:v>
                </c:pt>
                <c:pt idx="1">
                  <c:v>68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95-47D3-BA73-BFF496F8DD0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 Style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8DC-40F6-ACC9-0FFC24B73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8DC-40F6-ACC9-0FFC24B73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8DC-40F6-ACC9-0FFC24B73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Formulas!$K$7:$M$7</c:f>
              <c:strCache>
                <c:ptCount val="3"/>
                <c:pt idx="0">
                  <c:v>rumination</c:v>
                </c:pt>
                <c:pt idx="1">
                  <c:v>repression</c:v>
                </c:pt>
                <c:pt idx="2">
                  <c:v>avoidance</c:v>
                </c:pt>
              </c:strCache>
            </c:strRef>
          </c:cat>
          <c:val>
            <c:numRef>
              <c:f>Formulas!$K$8:$M$8</c:f>
              <c:numCache>
                <c:formatCode>General</c:formatCode>
                <c:ptCount val="3"/>
                <c:pt idx="0">
                  <c:v>90</c:v>
                </c:pt>
                <c:pt idx="1">
                  <c:v>9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DC-40F6-ACC9-0FFC24B73EF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Diagnosis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Formulas!$I$11</c:f>
              <c:strCache>
                <c:ptCount val="1"/>
                <c:pt idx="0">
                  <c:v>Male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Formulas!$G$12:$G$52</c:f>
              <c:strCache>
                <c:ptCount val="41"/>
                <c:pt idx="0">
                  <c:v>GAD</c:v>
                </c:pt>
                <c:pt idx="1">
                  <c:v>agoraphobia</c:v>
                </c:pt>
                <c:pt idx="2">
                  <c:v>anorexia</c:v>
                </c:pt>
                <c:pt idx="3">
                  <c:v>ADD</c:v>
                </c:pt>
                <c:pt idx="4">
                  <c:v>ADHD</c:v>
                </c:pt>
                <c:pt idx="5">
                  <c:v>adjustment_disorder</c:v>
                </c:pt>
                <c:pt idx="6">
                  <c:v>asthma</c:v>
                </c:pt>
                <c:pt idx="7">
                  <c:v>arthritis</c:v>
                </c:pt>
                <c:pt idx="8">
                  <c:v>autoimmune_unsp</c:v>
                </c:pt>
                <c:pt idx="9">
                  <c:v>bulimia</c:v>
                </c:pt>
                <c:pt idx="10">
                  <c:v>bipolar</c:v>
                </c:pt>
                <c:pt idx="11">
                  <c:v>bereavement</c:v>
                </c:pt>
                <c:pt idx="12">
                  <c:v>cancer_unsp</c:v>
                </c:pt>
                <c:pt idx="13">
                  <c:v>chronic_pain</c:v>
                </c:pt>
                <c:pt idx="14">
                  <c:v>migraines</c:v>
                </c:pt>
                <c:pt idx="15">
                  <c:v>chronic_stress</c:v>
                </c:pt>
                <c:pt idx="16">
                  <c:v>COPD</c:v>
                </c:pt>
                <c:pt idx="17">
                  <c:v>CVD</c:v>
                </c:pt>
                <c:pt idx="18">
                  <c:v>dissociative_unsp</c:v>
                </c:pt>
                <c:pt idx="19">
                  <c:v>diabetes</c:v>
                </c:pt>
                <c:pt idx="20">
                  <c:v>endometriosis</c:v>
                </c:pt>
                <c:pt idx="21">
                  <c:v>fibromyalgia</c:v>
                </c:pt>
                <c:pt idx="22">
                  <c:v>HIV</c:v>
                </c:pt>
                <c:pt idx="23">
                  <c:v>hypoglycemia</c:v>
                </c:pt>
                <c:pt idx="24">
                  <c:v>hypertension</c:v>
                </c:pt>
                <c:pt idx="25">
                  <c:v>IBS</c:v>
                </c:pt>
                <c:pt idx="26">
                  <c:v>IBD</c:v>
                </c:pt>
                <c:pt idx="27">
                  <c:v>insomnia</c:v>
                </c:pt>
                <c:pt idx="28">
                  <c:v>MDD</c:v>
                </c:pt>
                <c:pt idx="29">
                  <c:v>OCD</c:v>
                </c:pt>
                <c:pt idx="30">
                  <c:v>obesity</c:v>
                </c:pt>
                <c:pt idx="31">
                  <c:v>panic_disorder</c:v>
                </c:pt>
                <c:pt idx="32">
                  <c:v>PTSD</c:v>
                </c:pt>
                <c:pt idx="33">
                  <c:v>pelvic_inflam_disorder</c:v>
                </c:pt>
                <c:pt idx="34">
                  <c:v>PCOS</c:v>
                </c:pt>
                <c:pt idx="35">
                  <c:v>phobia_unsp</c:v>
                </c:pt>
                <c:pt idx="36">
                  <c:v>substance_abuse</c:v>
                </c:pt>
                <c:pt idx="37">
                  <c:v>schizophrenia</c:v>
                </c:pt>
                <c:pt idx="38">
                  <c:v>social_phobia</c:v>
                </c:pt>
                <c:pt idx="39">
                  <c:v>sexual_disorder</c:v>
                </c:pt>
                <c:pt idx="40">
                  <c:v>other</c:v>
                </c:pt>
              </c:strCache>
            </c:strRef>
          </c:cat>
          <c:val>
            <c:numRef>
              <c:f>Formulas!$I$12:$I$52</c:f>
              <c:numCache>
                <c:formatCode>General</c:formatCode>
                <c:ptCount val="41"/>
                <c:pt idx="0">
                  <c:v>7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C-42E3-8229-09233FBAB37B}"/>
            </c:ext>
          </c:extLst>
        </c:ser>
        <c:ser>
          <c:idx val="2"/>
          <c:order val="2"/>
          <c:tx>
            <c:strRef>
              <c:f>Formulas!$J$11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Formulas!$G$12:$G$52</c:f>
              <c:strCache>
                <c:ptCount val="41"/>
                <c:pt idx="0">
                  <c:v>GAD</c:v>
                </c:pt>
                <c:pt idx="1">
                  <c:v>agoraphobia</c:v>
                </c:pt>
                <c:pt idx="2">
                  <c:v>anorexia</c:v>
                </c:pt>
                <c:pt idx="3">
                  <c:v>ADD</c:v>
                </c:pt>
                <c:pt idx="4">
                  <c:v>ADHD</c:v>
                </c:pt>
                <c:pt idx="5">
                  <c:v>adjustment_disorder</c:v>
                </c:pt>
                <c:pt idx="6">
                  <c:v>asthma</c:v>
                </c:pt>
                <c:pt idx="7">
                  <c:v>arthritis</c:v>
                </c:pt>
                <c:pt idx="8">
                  <c:v>autoimmune_unsp</c:v>
                </c:pt>
                <c:pt idx="9">
                  <c:v>bulimia</c:v>
                </c:pt>
                <c:pt idx="10">
                  <c:v>bipolar</c:v>
                </c:pt>
                <c:pt idx="11">
                  <c:v>bereavement</c:v>
                </c:pt>
                <c:pt idx="12">
                  <c:v>cancer_unsp</c:v>
                </c:pt>
                <c:pt idx="13">
                  <c:v>chronic_pain</c:v>
                </c:pt>
                <c:pt idx="14">
                  <c:v>migraines</c:v>
                </c:pt>
                <c:pt idx="15">
                  <c:v>chronic_stress</c:v>
                </c:pt>
                <c:pt idx="16">
                  <c:v>COPD</c:v>
                </c:pt>
                <c:pt idx="17">
                  <c:v>CVD</c:v>
                </c:pt>
                <c:pt idx="18">
                  <c:v>dissociative_unsp</c:v>
                </c:pt>
                <c:pt idx="19">
                  <c:v>diabetes</c:v>
                </c:pt>
                <c:pt idx="20">
                  <c:v>endometriosis</c:v>
                </c:pt>
                <c:pt idx="21">
                  <c:v>fibromyalgia</c:v>
                </c:pt>
                <c:pt idx="22">
                  <c:v>HIV</c:v>
                </c:pt>
                <c:pt idx="23">
                  <c:v>hypoglycemia</c:v>
                </c:pt>
                <c:pt idx="24">
                  <c:v>hypertension</c:v>
                </c:pt>
                <c:pt idx="25">
                  <c:v>IBS</c:v>
                </c:pt>
                <c:pt idx="26">
                  <c:v>IBD</c:v>
                </c:pt>
                <c:pt idx="27">
                  <c:v>insomnia</c:v>
                </c:pt>
                <c:pt idx="28">
                  <c:v>MDD</c:v>
                </c:pt>
                <c:pt idx="29">
                  <c:v>OCD</c:v>
                </c:pt>
                <c:pt idx="30">
                  <c:v>obesity</c:v>
                </c:pt>
                <c:pt idx="31">
                  <c:v>panic_disorder</c:v>
                </c:pt>
                <c:pt idx="32">
                  <c:v>PTSD</c:v>
                </c:pt>
                <c:pt idx="33">
                  <c:v>pelvic_inflam_disorder</c:v>
                </c:pt>
                <c:pt idx="34">
                  <c:v>PCOS</c:v>
                </c:pt>
                <c:pt idx="35">
                  <c:v>phobia_unsp</c:v>
                </c:pt>
                <c:pt idx="36">
                  <c:v>substance_abuse</c:v>
                </c:pt>
                <c:pt idx="37">
                  <c:v>schizophrenia</c:v>
                </c:pt>
                <c:pt idx="38">
                  <c:v>social_phobia</c:v>
                </c:pt>
                <c:pt idx="39">
                  <c:v>sexual_disorder</c:v>
                </c:pt>
                <c:pt idx="40">
                  <c:v>other</c:v>
                </c:pt>
              </c:strCache>
            </c:strRef>
          </c:cat>
          <c:val>
            <c:numRef>
              <c:f>Formulas!$J$12:$J$52</c:f>
              <c:numCache>
                <c:formatCode>General</c:formatCode>
                <c:ptCount val="41"/>
                <c:pt idx="0">
                  <c:v>27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1</c:v>
                </c:pt>
                <c:pt idx="6">
                  <c:v>6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7</c:v>
                </c:pt>
                <c:pt idx="14">
                  <c:v>4</c:v>
                </c:pt>
                <c:pt idx="15">
                  <c:v>10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5</c:v>
                </c:pt>
                <c:pt idx="21">
                  <c:v>4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2</c:v>
                </c:pt>
                <c:pt idx="27">
                  <c:v>7</c:v>
                </c:pt>
                <c:pt idx="28">
                  <c:v>16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9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CC-42E3-8229-09233FBAB37B}"/>
            </c:ext>
          </c:extLst>
        </c:ser>
        <c:ser>
          <c:idx val="3"/>
          <c:order val="3"/>
          <c:tx>
            <c:strRef>
              <c:f>Formulas!$K$11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Formulas!$G$12:$G$52</c:f>
              <c:strCache>
                <c:ptCount val="41"/>
                <c:pt idx="0">
                  <c:v>GAD</c:v>
                </c:pt>
                <c:pt idx="1">
                  <c:v>agoraphobia</c:v>
                </c:pt>
                <c:pt idx="2">
                  <c:v>anorexia</c:v>
                </c:pt>
                <c:pt idx="3">
                  <c:v>ADD</c:v>
                </c:pt>
                <c:pt idx="4">
                  <c:v>ADHD</c:v>
                </c:pt>
                <c:pt idx="5">
                  <c:v>adjustment_disorder</c:v>
                </c:pt>
                <c:pt idx="6">
                  <c:v>asthma</c:v>
                </c:pt>
                <c:pt idx="7">
                  <c:v>arthritis</c:v>
                </c:pt>
                <c:pt idx="8">
                  <c:v>autoimmune_unsp</c:v>
                </c:pt>
                <c:pt idx="9">
                  <c:v>bulimia</c:v>
                </c:pt>
                <c:pt idx="10">
                  <c:v>bipolar</c:v>
                </c:pt>
                <c:pt idx="11">
                  <c:v>bereavement</c:v>
                </c:pt>
                <c:pt idx="12">
                  <c:v>cancer_unsp</c:v>
                </c:pt>
                <c:pt idx="13">
                  <c:v>chronic_pain</c:v>
                </c:pt>
                <c:pt idx="14">
                  <c:v>migraines</c:v>
                </c:pt>
                <c:pt idx="15">
                  <c:v>chronic_stress</c:v>
                </c:pt>
                <c:pt idx="16">
                  <c:v>COPD</c:v>
                </c:pt>
                <c:pt idx="17">
                  <c:v>CVD</c:v>
                </c:pt>
                <c:pt idx="18">
                  <c:v>dissociative_unsp</c:v>
                </c:pt>
                <c:pt idx="19">
                  <c:v>diabetes</c:v>
                </c:pt>
                <c:pt idx="20">
                  <c:v>endometriosis</c:v>
                </c:pt>
                <c:pt idx="21">
                  <c:v>fibromyalgia</c:v>
                </c:pt>
                <c:pt idx="22">
                  <c:v>HIV</c:v>
                </c:pt>
                <c:pt idx="23">
                  <c:v>hypoglycemia</c:v>
                </c:pt>
                <c:pt idx="24">
                  <c:v>hypertension</c:v>
                </c:pt>
                <c:pt idx="25">
                  <c:v>IBS</c:v>
                </c:pt>
                <c:pt idx="26">
                  <c:v>IBD</c:v>
                </c:pt>
                <c:pt idx="27">
                  <c:v>insomnia</c:v>
                </c:pt>
                <c:pt idx="28">
                  <c:v>MDD</c:v>
                </c:pt>
                <c:pt idx="29">
                  <c:v>OCD</c:v>
                </c:pt>
                <c:pt idx="30">
                  <c:v>obesity</c:v>
                </c:pt>
                <c:pt idx="31">
                  <c:v>panic_disorder</c:v>
                </c:pt>
                <c:pt idx="32">
                  <c:v>PTSD</c:v>
                </c:pt>
                <c:pt idx="33">
                  <c:v>pelvic_inflam_disorder</c:v>
                </c:pt>
                <c:pt idx="34">
                  <c:v>PCOS</c:v>
                </c:pt>
                <c:pt idx="35">
                  <c:v>phobia_unsp</c:v>
                </c:pt>
                <c:pt idx="36">
                  <c:v>substance_abuse</c:v>
                </c:pt>
                <c:pt idx="37">
                  <c:v>schizophrenia</c:v>
                </c:pt>
                <c:pt idx="38">
                  <c:v>social_phobia</c:v>
                </c:pt>
                <c:pt idx="39">
                  <c:v>sexual_disorder</c:v>
                </c:pt>
                <c:pt idx="40">
                  <c:v>other</c:v>
                </c:pt>
              </c:strCache>
            </c:strRef>
          </c:cat>
          <c:val>
            <c:numRef>
              <c:f>Formulas!$K$12:$K$52</c:f>
              <c:numCache>
                <c:formatCode>General</c:formatCode>
                <c:ptCount val="41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CC-42E3-8229-09233FBAB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7397312"/>
        <c:axId val="7873976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Formulas!$H$11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Formulas!$G$12:$G$52</c15:sqref>
                        </c15:formulaRef>
                      </c:ext>
                    </c:extLst>
                    <c:strCache>
                      <c:ptCount val="41"/>
                      <c:pt idx="0">
                        <c:v>GAD</c:v>
                      </c:pt>
                      <c:pt idx="1">
                        <c:v>agoraphobia</c:v>
                      </c:pt>
                      <c:pt idx="2">
                        <c:v>anorexia</c:v>
                      </c:pt>
                      <c:pt idx="3">
                        <c:v>ADD</c:v>
                      </c:pt>
                      <c:pt idx="4">
                        <c:v>ADHD</c:v>
                      </c:pt>
                      <c:pt idx="5">
                        <c:v>adjustment_disorder</c:v>
                      </c:pt>
                      <c:pt idx="6">
                        <c:v>asthma</c:v>
                      </c:pt>
                      <c:pt idx="7">
                        <c:v>arthritis</c:v>
                      </c:pt>
                      <c:pt idx="8">
                        <c:v>autoimmune_unsp</c:v>
                      </c:pt>
                      <c:pt idx="9">
                        <c:v>bulimia</c:v>
                      </c:pt>
                      <c:pt idx="10">
                        <c:v>bipolar</c:v>
                      </c:pt>
                      <c:pt idx="11">
                        <c:v>bereavement</c:v>
                      </c:pt>
                      <c:pt idx="12">
                        <c:v>cancer_unsp</c:v>
                      </c:pt>
                      <c:pt idx="13">
                        <c:v>chronic_pain</c:v>
                      </c:pt>
                      <c:pt idx="14">
                        <c:v>migraines</c:v>
                      </c:pt>
                      <c:pt idx="15">
                        <c:v>chronic_stress</c:v>
                      </c:pt>
                      <c:pt idx="16">
                        <c:v>COPD</c:v>
                      </c:pt>
                      <c:pt idx="17">
                        <c:v>CVD</c:v>
                      </c:pt>
                      <c:pt idx="18">
                        <c:v>dissociative_unsp</c:v>
                      </c:pt>
                      <c:pt idx="19">
                        <c:v>diabetes</c:v>
                      </c:pt>
                      <c:pt idx="20">
                        <c:v>endometriosis</c:v>
                      </c:pt>
                      <c:pt idx="21">
                        <c:v>fibromyalgia</c:v>
                      </c:pt>
                      <c:pt idx="22">
                        <c:v>HIV</c:v>
                      </c:pt>
                      <c:pt idx="23">
                        <c:v>hypoglycemia</c:v>
                      </c:pt>
                      <c:pt idx="24">
                        <c:v>hypertension</c:v>
                      </c:pt>
                      <c:pt idx="25">
                        <c:v>IBS</c:v>
                      </c:pt>
                      <c:pt idx="26">
                        <c:v>IBD</c:v>
                      </c:pt>
                      <c:pt idx="27">
                        <c:v>insomnia</c:v>
                      </c:pt>
                      <c:pt idx="28">
                        <c:v>MDD</c:v>
                      </c:pt>
                      <c:pt idx="29">
                        <c:v>OCD</c:v>
                      </c:pt>
                      <c:pt idx="30">
                        <c:v>obesity</c:v>
                      </c:pt>
                      <c:pt idx="31">
                        <c:v>panic_disorder</c:v>
                      </c:pt>
                      <c:pt idx="32">
                        <c:v>PTSD</c:v>
                      </c:pt>
                      <c:pt idx="33">
                        <c:v>pelvic_inflam_disorder</c:v>
                      </c:pt>
                      <c:pt idx="34">
                        <c:v>PCOS</c:v>
                      </c:pt>
                      <c:pt idx="35">
                        <c:v>phobia_unsp</c:v>
                      </c:pt>
                      <c:pt idx="36">
                        <c:v>substance_abuse</c:v>
                      </c:pt>
                      <c:pt idx="37">
                        <c:v>schizophrenia</c:v>
                      </c:pt>
                      <c:pt idx="38">
                        <c:v>social_phobia</c:v>
                      </c:pt>
                      <c:pt idx="39">
                        <c:v>sexual_disorder</c:v>
                      </c:pt>
                      <c:pt idx="40">
                        <c:v>other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Formulas!$H$12:$H$52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37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7</c:v>
                      </c:pt>
                      <c:pt idx="4">
                        <c:v>5</c:v>
                      </c:pt>
                      <c:pt idx="5">
                        <c:v>1</c:v>
                      </c:pt>
                      <c:pt idx="6">
                        <c:v>6</c:v>
                      </c:pt>
                      <c:pt idx="7">
                        <c:v>1</c:v>
                      </c:pt>
                      <c:pt idx="8">
                        <c:v>5</c:v>
                      </c:pt>
                      <c:pt idx="9">
                        <c:v>0</c:v>
                      </c:pt>
                      <c:pt idx="10">
                        <c:v>6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9</c:v>
                      </c:pt>
                      <c:pt idx="14">
                        <c:v>5</c:v>
                      </c:pt>
                      <c:pt idx="15">
                        <c:v>12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5</c:v>
                      </c:pt>
                      <c:pt idx="21">
                        <c:v>4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4</c:v>
                      </c:pt>
                      <c:pt idx="26">
                        <c:v>2</c:v>
                      </c:pt>
                      <c:pt idx="27">
                        <c:v>10</c:v>
                      </c:pt>
                      <c:pt idx="28">
                        <c:v>18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12</c:v>
                      </c:pt>
                      <c:pt idx="33">
                        <c:v>0</c:v>
                      </c:pt>
                      <c:pt idx="34">
                        <c:v>2</c:v>
                      </c:pt>
                      <c:pt idx="35">
                        <c:v>1</c:v>
                      </c:pt>
                      <c:pt idx="36">
                        <c:v>3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2</c:v>
                      </c:pt>
                      <c:pt idx="40">
                        <c:v>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2CC-42E3-8229-09233FBAB37B}"/>
                  </c:ext>
                </c:extLst>
              </c15:ser>
            </c15:filteredBarSeries>
          </c:ext>
        </c:extLst>
      </c:barChart>
      <c:catAx>
        <c:axId val="78739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397640"/>
        <c:crosses val="autoZero"/>
        <c:auto val="1"/>
        <c:lblAlgn val="ctr"/>
        <c:lblOffset val="100"/>
        <c:noMultiLvlLbl val="0"/>
      </c:catAx>
      <c:valAx>
        <c:axId val="78739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39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Symptoms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Formulas!$C$2</c:f>
              <c:strCache>
                <c:ptCount val="1"/>
                <c:pt idx="0">
                  <c:v>Male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Formulas!$A$3:$A$110</c:f>
              <c:strCache>
                <c:ptCount val="108"/>
                <c:pt idx="0">
                  <c:v>avoidance_gen</c:v>
                </c:pt>
                <c:pt idx="1">
                  <c:v>anger</c:v>
                </c:pt>
                <c:pt idx="2">
                  <c:v>appetite</c:v>
                </c:pt>
                <c:pt idx="3">
                  <c:v>anxiety</c:v>
                </c:pt>
                <c:pt idx="4">
                  <c:v>avoidance_social</c:v>
                </c:pt>
                <c:pt idx="5">
                  <c:v>avoidance_presentations</c:v>
                </c:pt>
                <c:pt idx="6">
                  <c:v>avoidance_memories</c:v>
                </c:pt>
                <c:pt idx="7">
                  <c:v>avoidance_meals</c:v>
                </c:pt>
                <c:pt idx="8">
                  <c:v>aggression</c:v>
                </c:pt>
                <c:pt idx="9">
                  <c:v>agitation</c:v>
                </c:pt>
                <c:pt idx="10">
                  <c:v>attention</c:v>
                </c:pt>
                <c:pt idx="11">
                  <c:v>acceptance</c:v>
                </c:pt>
                <c:pt idx="12">
                  <c:v>body_image</c:v>
                </c:pt>
                <c:pt idx="13">
                  <c:v>binge</c:v>
                </c:pt>
                <c:pt idx="14">
                  <c:v>boredom</c:v>
                </c:pt>
                <c:pt idx="15">
                  <c:v>blackouts</c:v>
                </c:pt>
                <c:pt idx="16">
                  <c:v>control</c:v>
                </c:pt>
                <c:pt idx="17">
                  <c:v>chronic_pain</c:v>
                </c:pt>
                <c:pt idx="18">
                  <c:v>cardiac_unsp</c:v>
                </c:pt>
                <c:pt idx="19">
                  <c:v>chest_pain</c:v>
                </c:pt>
                <c:pt idx="20">
                  <c:v>compulsions</c:v>
                </c:pt>
                <c:pt idx="21">
                  <c:v>checking_behav</c:v>
                </c:pt>
                <c:pt idx="22">
                  <c:v>counting_behav</c:v>
                </c:pt>
                <c:pt idx="23">
                  <c:v>craving</c:v>
                </c:pt>
                <c:pt idx="24">
                  <c:v>confused_speech</c:v>
                </c:pt>
                <c:pt idx="25">
                  <c:v>communication</c:v>
                </c:pt>
                <c:pt idx="26">
                  <c:v>compulsive_eating</c:v>
                </c:pt>
                <c:pt idx="27">
                  <c:v>catastrophizing</c:v>
                </c:pt>
                <c:pt idx="28">
                  <c:v>dizziness</c:v>
                </c:pt>
                <c:pt idx="29">
                  <c:v>depression</c:v>
                </c:pt>
                <c:pt idx="30">
                  <c:v>detachment</c:v>
                </c:pt>
                <c:pt idx="31">
                  <c:v>disability</c:v>
                </c:pt>
                <c:pt idx="32">
                  <c:v>distress_memories</c:v>
                </c:pt>
                <c:pt idx="33">
                  <c:v>delusion</c:v>
                </c:pt>
                <c:pt idx="34">
                  <c:v>disorganized</c:v>
                </c:pt>
                <c:pt idx="35">
                  <c:v>disoriented</c:v>
                </c:pt>
                <c:pt idx="36">
                  <c:v>depersonalization</c:v>
                </c:pt>
                <c:pt idx="37">
                  <c:v>dissociation</c:v>
                </c:pt>
                <c:pt idx="38">
                  <c:v>excess_crying</c:v>
                </c:pt>
                <c:pt idx="39">
                  <c:v>excess_worry</c:v>
                </c:pt>
                <c:pt idx="40">
                  <c:v>excess_sweat</c:v>
                </c:pt>
                <c:pt idx="41">
                  <c:v>emptiness</c:v>
                </c:pt>
                <c:pt idx="42">
                  <c:v>escape</c:v>
                </c:pt>
                <c:pt idx="43">
                  <c:v>excess_dieting</c:v>
                </c:pt>
                <c:pt idx="44">
                  <c:v>fidget</c:v>
                </c:pt>
                <c:pt idx="45">
                  <c:v>fear_future</c:v>
                </c:pt>
                <c:pt idx="46">
                  <c:v>freq_sick</c:v>
                </c:pt>
                <c:pt idx="47">
                  <c:v>fatigue</c:v>
                </c:pt>
                <c:pt idx="48">
                  <c:v>fear_gen</c:v>
                </c:pt>
                <c:pt idx="49">
                  <c:v>fear_leave_home</c:v>
                </c:pt>
                <c:pt idx="50">
                  <c:v>fear_crowds</c:v>
                </c:pt>
                <c:pt idx="51">
                  <c:v>fear_judgment</c:v>
                </c:pt>
                <c:pt idx="52">
                  <c:v>flashbacks</c:v>
                </c:pt>
                <c:pt idx="53">
                  <c:v>forgetful</c:v>
                </c:pt>
                <c:pt idx="54">
                  <c:v>hypervigilance</c:v>
                </c:pt>
                <c:pt idx="55">
                  <c:v>headaches</c:v>
                </c:pt>
                <c:pt idx="56">
                  <c:v>hopelessness</c:v>
                </c:pt>
                <c:pt idx="57">
                  <c:v>hyperactive</c:v>
                </c:pt>
                <c:pt idx="58">
                  <c:v>hypersexual</c:v>
                </c:pt>
                <c:pt idx="59">
                  <c:v>hallucinations</c:v>
                </c:pt>
                <c:pt idx="60">
                  <c:v>insomnia</c:v>
                </c:pt>
                <c:pt idx="61">
                  <c:v>irritable</c:v>
                </c:pt>
                <c:pt idx="62">
                  <c:v>intrusive_thoughts</c:v>
                </c:pt>
                <c:pt idx="63">
                  <c:v>impulsive</c:v>
                </c:pt>
                <c:pt idx="64">
                  <c:v>indecisive</c:v>
                </c:pt>
                <c:pt idx="65">
                  <c:v>impaired_memory</c:v>
                </c:pt>
                <c:pt idx="66">
                  <c:v>anhedonia</c:v>
                </c:pt>
                <c:pt idx="67">
                  <c:v>lying</c:v>
                </c:pt>
                <c:pt idx="68">
                  <c:v>low_self_esteem</c:v>
                </c:pt>
                <c:pt idx="69">
                  <c:v>muscle tension</c:v>
                </c:pt>
                <c:pt idx="70">
                  <c:v>mania</c:v>
                </c:pt>
                <c:pt idx="71">
                  <c:v>nervous</c:v>
                </c:pt>
                <c:pt idx="72">
                  <c:v>numbing</c:v>
                </c:pt>
                <c:pt idx="73">
                  <c:v>neglect_respon</c:v>
                </c:pt>
                <c:pt idx="74">
                  <c:v>not_eating</c:v>
                </c:pt>
                <c:pt idx="75">
                  <c:v>overwhelmed</c:v>
                </c:pt>
                <c:pt idx="76">
                  <c:v>obsessions</c:v>
                </c:pt>
                <c:pt idx="77">
                  <c:v>obsessions_weight</c:v>
                </c:pt>
                <c:pt idx="78">
                  <c:v>panic_attack</c:v>
                </c:pt>
                <c:pt idx="79">
                  <c:v>pessimism</c:v>
                </c:pt>
                <c:pt idx="80">
                  <c:v>productivity</c:v>
                </c:pt>
                <c:pt idx="81">
                  <c:v>paranoia</c:v>
                </c:pt>
                <c:pt idx="82">
                  <c:v>nightmares</c:v>
                </c:pt>
                <c:pt idx="83">
                  <c:v>restlessness</c:v>
                </c:pt>
                <c:pt idx="84">
                  <c:v>rapid_heartbeat</c:v>
                </c:pt>
                <c:pt idx="85">
                  <c:v>reduced_libido</c:v>
                </c:pt>
                <c:pt idx="86">
                  <c:v>ritualistic</c:v>
                </c:pt>
                <c:pt idx="87">
                  <c:v>rumination</c:v>
                </c:pt>
                <c:pt idx="88">
                  <c:v>racing_thoughts</c:v>
                </c:pt>
                <c:pt idx="89">
                  <c:v>risk_taking</c:v>
                </c:pt>
                <c:pt idx="90">
                  <c:v>rapid_speech</c:v>
                </c:pt>
                <c:pt idx="91">
                  <c:v>relationship_issues</c:v>
                </c:pt>
                <c:pt idx="92">
                  <c:v>short_breath</c:v>
                </c:pt>
                <c:pt idx="93">
                  <c:v>skin_rash</c:v>
                </c:pt>
                <c:pt idx="94">
                  <c:v>self_harm</c:v>
                </c:pt>
                <c:pt idx="95">
                  <c:v>self_blame</c:v>
                </c:pt>
                <c:pt idx="96">
                  <c:v>sleep_disturb</c:v>
                </c:pt>
                <c:pt idx="97">
                  <c:v>superiority</c:v>
                </c:pt>
                <c:pt idx="98">
                  <c:v>secrecy</c:v>
                </c:pt>
                <c:pt idx="99">
                  <c:v>substance_use</c:v>
                </c:pt>
                <c:pt idx="100">
                  <c:v>sadness</c:v>
                </c:pt>
                <c:pt idx="101">
                  <c:v>trouble_relax</c:v>
                </c:pt>
                <c:pt idx="102">
                  <c:v>thin_hair</c:v>
                </c:pt>
                <c:pt idx="103">
                  <c:v>tolerance</c:v>
                </c:pt>
                <c:pt idx="104">
                  <c:v>upset_stomach</c:v>
                </c:pt>
                <c:pt idx="105">
                  <c:v>worthlessness</c:v>
                </c:pt>
                <c:pt idx="106">
                  <c:v>weight_changes</c:v>
                </c:pt>
                <c:pt idx="107">
                  <c:v>withdrawal</c:v>
                </c:pt>
              </c:strCache>
            </c:strRef>
          </c:cat>
          <c:val>
            <c:numRef>
              <c:f>Formulas!$C$3:$C$110</c:f>
              <c:numCache>
                <c:formatCode>General</c:formatCode>
                <c:ptCount val="108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3">
                  <c:v>10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6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3</c:v>
                </c:pt>
                <c:pt idx="74">
                  <c:v>0</c:v>
                </c:pt>
                <c:pt idx="75">
                  <c:v>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2E-4814-9031-365D34DC73D7}"/>
            </c:ext>
          </c:extLst>
        </c:ser>
        <c:ser>
          <c:idx val="2"/>
          <c:order val="2"/>
          <c:tx>
            <c:strRef>
              <c:f>Formulas!$D$2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Formulas!$A$3:$A$110</c:f>
              <c:strCache>
                <c:ptCount val="108"/>
                <c:pt idx="0">
                  <c:v>avoidance_gen</c:v>
                </c:pt>
                <c:pt idx="1">
                  <c:v>anger</c:v>
                </c:pt>
                <c:pt idx="2">
                  <c:v>appetite</c:v>
                </c:pt>
                <c:pt idx="3">
                  <c:v>anxiety</c:v>
                </c:pt>
                <c:pt idx="4">
                  <c:v>avoidance_social</c:v>
                </c:pt>
                <c:pt idx="5">
                  <c:v>avoidance_presentations</c:v>
                </c:pt>
                <c:pt idx="6">
                  <c:v>avoidance_memories</c:v>
                </c:pt>
                <c:pt idx="7">
                  <c:v>avoidance_meals</c:v>
                </c:pt>
                <c:pt idx="8">
                  <c:v>aggression</c:v>
                </c:pt>
                <c:pt idx="9">
                  <c:v>agitation</c:v>
                </c:pt>
                <c:pt idx="10">
                  <c:v>attention</c:v>
                </c:pt>
                <c:pt idx="11">
                  <c:v>acceptance</c:v>
                </c:pt>
                <c:pt idx="12">
                  <c:v>body_image</c:v>
                </c:pt>
                <c:pt idx="13">
                  <c:v>binge</c:v>
                </c:pt>
                <c:pt idx="14">
                  <c:v>boredom</c:v>
                </c:pt>
                <c:pt idx="15">
                  <c:v>blackouts</c:v>
                </c:pt>
                <c:pt idx="16">
                  <c:v>control</c:v>
                </c:pt>
                <c:pt idx="17">
                  <c:v>chronic_pain</c:v>
                </c:pt>
                <c:pt idx="18">
                  <c:v>cardiac_unsp</c:v>
                </c:pt>
                <c:pt idx="19">
                  <c:v>chest_pain</c:v>
                </c:pt>
                <c:pt idx="20">
                  <c:v>compulsions</c:v>
                </c:pt>
                <c:pt idx="21">
                  <c:v>checking_behav</c:v>
                </c:pt>
                <c:pt idx="22">
                  <c:v>counting_behav</c:v>
                </c:pt>
                <c:pt idx="23">
                  <c:v>craving</c:v>
                </c:pt>
                <c:pt idx="24">
                  <c:v>confused_speech</c:v>
                </c:pt>
                <c:pt idx="25">
                  <c:v>communication</c:v>
                </c:pt>
                <c:pt idx="26">
                  <c:v>compulsive_eating</c:v>
                </c:pt>
                <c:pt idx="27">
                  <c:v>catastrophizing</c:v>
                </c:pt>
                <c:pt idx="28">
                  <c:v>dizziness</c:v>
                </c:pt>
                <c:pt idx="29">
                  <c:v>depression</c:v>
                </c:pt>
                <c:pt idx="30">
                  <c:v>detachment</c:v>
                </c:pt>
                <c:pt idx="31">
                  <c:v>disability</c:v>
                </c:pt>
                <c:pt idx="32">
                  <c:v>distress_memories</c:v>
                </c:pt>
                <c:pt idx="33">
                  <c:v>delusion</c:v>
                </c:pt>
                <c:pt idx="34">
                  <c:v>disorganized</c:v>
                </c:pt>
                <c:pt idx="35">
                  <c:v>disoriented</c:v>
                </c:pt>
                <c:pt idx="36">
                  <c:v>depersonalization</c:v>
                </c:pt>
                <c:pt idx="37">
                  <c:v>dissociation</c:v>
                </c:pt>
                <c:pt idx="38">
                  <c:v>excess_crying</c:v>
                </c:pt>
                <c:pt idx="39">
                  <c:v>excess_worry</c:v>
                </c:pt>
                <c:pt idx="40">
                  <c:v>excess_sweat</c:v>
                </c:pt>
                <c:pt idx="41">
                  <c:v>emptiness</c:v>
                </c:pt>
                <c:pt idx="42">
                  <c:v>escape</c:v>
                </c:pt>
                <c:pt idx="43">
                  <c:v>excess_dieting</c:v>
                </c:pt>
                <c:pt idx="44">
                  <c:v>fidget</c:v>
                </c:pt>
                <c:pt idx="45">
                  <c:v>fear_future</c:v>
                </c:pt>
                <c:pt idx="46">
                  <c:v>freq_sick</c:v>
                </c:pt>
                <c:pt idx="47">
                  <c:v>fatigue</c:v>
                </c:pt>
                <c:pt idx="48">
                  <c:v>fear_gen</c:v>
                </c:pt>
                <c:pt idx="49">
                  <c:v>fear_leave_home</c:v>
                </c:pt>
                <c:pt idx="50">
                  <c:v>fear_crowds</c:v>
                </c:pt>
                <c:pt idx="51">
                  <c:v>fear_judgment</c:v>
                </c:pt>
                <c:pt idx="52">
                  <c:v>flashbacks</c:v>
                </c:pt>
                <c:pt idx="53">
                  <c:v>forgetful</c:v>
                </c:pt>
                <c:pt idx="54">
                  <c:v>hypervigilance</c:v>
                </c:pt>
                <c:pt idx="55">
                  <c:v>headaches</c:v>
                </c:pt>
                <c:pt idx="56">
                  <c:v>hopelessness</c:v>
                </c:pt>
                <c:pt idx="57">
                  <c:v>hyperactive</c:v>
                </c:pt>
                <c:pt idx="58">
                  <c:v>hypersexual</c:v>
                </c:pt>
                <c:pt idx="59">
                  <c:v>hallucinations</c:v>
                </c:pt>
                <c:pt idx="60">
                  <c:v>insomnia</c:v>
                </c:pt>
                <c:pt idx="61">
                  <c:v>irritable</c:v>
                </c:pt>
                <c:pt idx="62">
                  <c:v>intrusive_thoughts</c:v>
                </c:pt>
                <c:pt idx="63">
                  <c:v>impulsive</c:v>
                </c:pt>
                <c:pt idx="64">
                  <c:v>indecisive</c:v>
                </c:pt>
                <c:pt idx="65">
                  <c:v>impaired_memory</c:v>
                </c:pt>
                <c:pt idx="66">
                  <c:v>anhedonia</c:v>
                </c:pt>
                <c:pt idx="67">
                  <c:v>lying</c:v>
                </c:pt>
                <c:pt idx="68">
                  <c:v>low_self_esteem</c:v>
                </c:pt>
                <c:pt idx="69">
                  <c:v>muscle tension</c:v>
                </c:pt>
                <c:pt idx="70">
                  <c:v>mania</c:v>
                </c:pt>
                <c:pt idx="71">
                  <c:v>nervous</c:v>
                </c:pt>
                <c:pt idx="72">
                  <c:v>numbing</c:v>
                </c:pt>
                <c:pt idx="73">
                  <c:v>neglect_respon</c:v>
                </c:pt>
                <c:pt idx="74">
                  <c:v>not_eating</c:v>
                </c:pt>
                <c:pt idx="75">
                  <c:v>overwhelmed</c:v>
                </c:pt>
                <c:pt idx="76">
                  <c:v>obsessions</c:v>
                </c:pt>
                <c:pt idx="77">
                  <c:v>obsessions_weight</c:v>
                </c:pt>
                <c:pt idx="78">
                  <c:v>panic_attack</c:v>
                </c:pt>
                <c:pt idx="79">
                  <c:v>pessimism</c:v>
                </c:pt>
                <c:pt idx="80">
                  <c:v>productivity</c:v>
                </c:pt>
                <c:pt idx="81">
                  <c:v>paranoia</c:v>
                </c:pt>
                <c:pt idx="82">
                  <c:v>nightmares</c:v>
                </c:pt>
                <c:pt idx="83">
                  <c:v>restlessness</c:v>
                </c:pt>
                <c:pt idx="84">
                  <c:v>rapid_heartbeat</c:v>
                </c:pt>
                <c:pt idx="85">
                  <c:v>reduced_libido</c:v>
                </c:pt>
                <c:pt idx="86">
                  <c:v>ritualistic</c:v>
                </c:pt>
                <c:pt idx="87">
                  <c:v>rumination</c:v>
                </c:pt>
                <c:pt idx="88">
                  <c:v>racing_thoughts</c:v>
                </c:pt>
                <c:pt idx="89">
                  <c:v>risk_taking</c:v>
                </c:pt>
                <c:pt idx="90">
                  <c:v>rapid_speech</c:v>
                </c:pt>
                <c:pt idx="91">
                  <c:v>relationship_issues</c:v>
                </c:pt>
                <c:pt idx="92">
                  <c:v>short_breath</c:v>
                </c:pt>
                <c:pt idx="93">
                  <c:v>skin_rash</c:v>
                </c:pt>
                <c:pt idx="94">
                  <c:v>self_harm</c:v>
                </c:pt>
                <c:pt idx="95">
                  <c:v>self_blame</c:v>
                </c:pt>
                <c:pt idx="96">
                  <c:v>sleep_disturb</c:v>
                </c:pt>
                <c:pt idx="97">
                  <c:v>superiority</c:v>
                </c:pt>
                <c:pt idx="98">
                  <c:v>secrecy</c:v>
                </c:pt>
                <c:pt idx="99">
                  <c:v>substance_use</c:v>
                </c:pt>
                <c:pt idx="100">
                  <c:v>sadness</c:v>
                </c:pt>
                <c:pt idx="101">
                  <c:v>trouble_relax</c:v>
                </c:pt>
                <c:pt idx="102">
                  <c:v>thin_hair</c:v>
                </c:pt>
                <c:pt idx="103">
                  <c:v>tolerance</c:v>
                </c:pt>
                <c:pt idx="104">
                  <c:v>upset_stomach</c:v>
                </c:pt>
                <c:pt idx="105">
                  <c:v>worthlessness</c:v>
                </c:pt>
                <c:pt idx="106">
                  <c:v>weight_changes</c:v>
                </c:pt>
                <c:pt idx="107">
                  <c:v>withdrawal</c:v>
                </c:pt>
              </c:strCache>
            </c:strRef>
          </c:cat>
          <c:val>
            <c:numRef>
              <c:f>Formulas!$D$3:$D$110</c:f>
              <c:numCache>
                <c:formatCode>General</c:formatCode>
                <c:ptCount val="108"/>
                <c:pt idx="0">
                  <c:v>10</c:v>
                </c:pt>
                <c:pt idx="1">
                  <c:v>14</c:v>
                </c:pt>
                <c:pt idx="2">
                  <c:v>5</c:v>
                </c:pt>
                <c:pt idx="3">
                  <c:v>43</c:v>
                </c:pt>
                <c:pt idx="4">
                  <c:v>15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  <c:pt idx="9">
                  <c:v>10</c:v>
                </c:pt>
                <c:pt idx="10">
                  <c:v>27</c:v>
                </c:pt>
                <c:pt idx="11">
                  <c:v>5</c:v>
                </c:pt>
                <c:pt idx="12">
                  <c:v>23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3</c:v>
                </c:pt>
                <c:pt idx="17">
                  <c:v>13</c:v>
                </c:pt>
                <c:pt idx="18">
                  <c:v>1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4</c:v>
                </c:pt>
                <c:pt idx="24">
                  <c:v>0</c:v>
                </c:pt>
                <c:pt idx="25">
                  <c:v>1</c:v>
                </c:pt>
                <c:pt idx="26">
                  <c:v>6</c:v>
                </c:pt>
                <c:pt idx="27">
                  <c:v>1</c:v>
                </c:pt>
                <c:pt idx="28">
                  <c:v>4</c:v>
                </c:pt>
                <c:pt idx="29">
                  <c:v>16</c:v>
                </c:pt>
                <c:pt idx="30">
                  <c:v>4</c:v>
                </c:pt>
                <c:pt idx="31">
                  <c:v>1</c:v>
                </c:pt>
                <c:pt idx="32">
                  <c:v>4</c:v>
                </c:pt>
                <c:pt idx="33">
                  <c:v>0</c:v>
                </c:pt>
                <c:pt idx="34">
                  <c:v>4</c:v>
                </c:pt>
                <c:pt idx="35">
                  <c:v>2</c:v>
                </c:pt>
                <c:pt idx="36">
                  <c:v>1</c:v>
                </c:pt>
                <c:pt idx="37">
                  <c:v>5</c:v>
                </c:pt>
                <c:pt idx="38">
                  <c:v>2</c:v>
                </c:pt>
                <c:pt idx="39">
                  <c:v>14</c:v>
                </c:pt>
                <c:pt idx="40">
                  <c:v>0</c:v>
                </c:pt>
                <c:pt idx="41">
                  <c:v>6</c:v>
                </c:pt>
                <c:pt idx="42">
                  <c:v>7</c:v>
                </c:pt>
                <c:pt idx="43">
                  <c:v>0</c:v>
                </c:pt>
                <c:pt idx="44">
                  <c:v>2</c:v>
                </c:pt>
                <c:pt idx="45">
                  <c:v>7</c:v>
                </c:pt>
                <c:pt idx="46">
                  <c:v>4</c:v>
                </c:pt>
                <c:pt idx="47">
                  <c:v>24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7</c:v>
                </c:pt>
                <c:pt idx="52">
                  <c:v>2</c:v>
                </c:pt>
                <c:pt idx="53">
                  <c:v>5</c:v>
                </c:pt>
                <c:pt idx="54">
                  <c:v>3</c:v>
                </c:pt>
                <c:pt idx="55">
                  <c:v>13</c:v>
                </c:pt>
                <c:pt idx="56">
                  <c:v>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10</c:v>
                </c:pt>
                <c:pt idx="61">
                  <c:v>10</c:v>
                </c:pt>
                <c:pt idx="62">
                  <c:v>3</c:v>
                </c:pt>
                <c:pt idx="63">
                  <c:v>2</c:v>
                </c:pt>
                <c:pt idx="64">
                  <c:v>12</c:v>
                </c:pt>
                <c:pt idx="65">
                  <c:v>6</c:v>
                </c:pt>
                <c:pt idx="66">
                  <c:v>6</c:v>
                </c:pt>
                <c:pt idx="67">
                  <c:v>0</c:v>
                </c:pt>
                <c:pt idx="68">
                  <c:v>9</c:v>
                </c:pt>
                <c:pt idx="69">
                  <c:v>0</c:v>
                </c:pt>
                <c:pt idx="70">
                  <c:v>1</c:v>
                </c:pt>
                <c:pt idx="71">
                  <c:v>6</c:v>
                </c:pt>
                <c:pt idx="72">
                  <c:v>1</c:v>
                </c:pt>
                <c:pt idx="73">
                  <c:v>3</c:v>
                </c:pt>
                <c:pt idx="74">
                  <c:v>3</c:v>
                </c:pt>
                <c:pt idx="75">
                  <c:v>21</c:v>
                </c:pt>
                <c:pt idx="76">
                  <c:v>3</c:v>
                </c:pt>
                <c:pt idx="77">
                  <c:v>3</c:v>
                </c:pt>
                <c:pt idx="78">
                  <c:v>1</c:v>
                </c:pt>
                <c:pt idx="79">
                  <c:v>2</c:v>
                </c:pt>
                <c:pt idx="80">
                  <c:v>7</c:v>
                </c:pt>
                <c:pt idx="81">
                  <c:v>0</c:v>
                </c:pt>
                <c:pt idx="82">
                  <c:v>0</c:v>
                </c:pt>
                <c:pt idx="83">
                  <c:v>7</c:v>
                </c:pt>
                <c:pt idx="84">
                  <c:v>1</c:v>
                </c:pt>
                <c:pt idx="85">
                  <c:v>8</c:v>
                </c:pt>
                <c:pt idx="86">
                  <c:v>0</c:v>
                </c:pt>
                <c:pt idx="87">
                  <c:v>6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6</c:v>
                </c:pt>
                <c:pt idx="92">
                  <c:v>4</c:v>
                </c:pt>
                <c:pt idx="93">
                  <c:v>6</c:v>
                </c:pt>
                <c:pt idx="94">
                  <c:v>0</c:v>
                </c:pt>
                <c:pt idx="95">
                  <c:v>1</c:v>
                </c:pt>
                <c:pt idx="96">
                  <c:v>7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5</c:v>
                </c:pt>
                <c:pt idx="101">
                  <c:v>11</c:v>
                </c:pt>
                <c:pt idx="102">
                  <c:v>1</c:v>
                </c:pt>
                <c:pt idx="103">
                  <c:v>0</c:v>
                </c:pt>
                <c:pt idx="104">
                  <c:v>8</c:v>
                </c:pt>
                <c:pt idx="105">
                  <c:v>3</c:v>
                </c:pt>
                <c:pt idx="106">
                  <c:v>2</c:v>
                </c:pt>
                <c:pt idx="1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2E-4814-9031-365D34DC73D7}"/>
            </c:ext>
          </c:extLst>
        </c:ser>
        <c:ser>
          <c:idx val="3"/>
          <c:order val="3"/>
          <c:tx>
            <c:strRef>
              <c:f>Formulas!$E$2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Formulas!$A$3:$A$110</c:f>
              <c:strCache>
                <c:ptCount val="108"/>
                <c:pt idx="0">
                  <c:v>avoidance_gen</c:v>
                </c:pt>
                <c:pt idx="1">
                  <c:v>anger</c:v>
                </c:pt>
                <c:pt idx="2">
                  <c:v>appetite</c:v>
                </c:pt>
                <c:pt idx="3">
                  <c:v>anxiety</c:v>
                </c:pt>
                <c:pt idx="4">
                  <c:v>avoidance_social</c:v>
                </c:pt>
                <c:pt idx="5">
                  <c:v>avoidance_presentations</c:v>
                </c:pt>
                <c:pt idx="6">
                  <c:v>avoidance_memories</c:v>
                </c:pt>
                <c:pt idx="7">
                  <c:v>avoidance_meals</c:v>
                </c:pt>
                <c:pt idx="8">
                  <c:v>aggression</c:v>
                </c:pt>
                <c:pt idx="9">
                  <c:v>agitation</c:v>
                </c:pt>
                <c:pt idx="10">
                  <c:v>attention</c:v>
                </c:pt>
                <c:pt idx="11">
                  <c:v>acceptance</c:v>
                </c:pt>
                <c:pt idx="12">
                  <c:v>body_image</c:v>
                </c:pt>
                <c:pt idx="13">
                  <c:v>binge</c:v>
                </c:pt>
                <c:pt idx="14">
                  <c:v>boredom</c:v>
                </c:pt>
                <c:pt idx="15">
                  <c:v>blackouts</c:v>
                </c:pt>
                <c:pt idx="16">
                  <c:v>control</c:v>
                </c:pt>
                <c:pt idx="17">
                  <c:v>chronic_pain</c:v>
                </c:pt>
                <c:pt idx="18">
                  <c:v>cardiac_unsp</c:v>
                </c:pt>
                <c:pt idx="19">
                  <c:v>chest_pain</c:v>
                </c:pt>
                <c:pt idx="20">
                  <c:v>compulsions</c:v>
                </c:pt>
                <c:pt idx="21">
                  <c:v>checking_behav</c:v>
                </c:pt>
                <c:pt idx="22">
                  <c:v>counting_behav</c:v>
                </c:pt>
                <c:pt idx="23">
                  <c:v>craving</c:v>
                </c:pt>
                <c:pt idx="24">
                  <c:v>confused_speech</c:v>
                </c:pt>
                <c:pt idx="25">
                  <c:v>communication</c:v>
                </c:pt>
                <c:pt idx="26">
                  <c:v>compulsive_eating</c:v>
                </c:pt>
                <c:pt idx="27">
                  <c:v>catastrophizing</c:v>
                </c:pt>
                <c:pt idx="28">
                  <c:v>dizziness</c:v>
                </c:pt>
                <c:pt idx="29">
                  <c:v>depression</c:v>
                </c:pt>
                <c:pt idx="30">
                  <c:v>detachment</c:v>
                </c:pt>
                <c:pt idx="31">
                  <c:v>disability</c:v>
                </c:pt>
                <c:pt idx="32">
                  <c:v>distress_memories</c:v>
                </c:pt>
                <c:pt idx="33">
                  <c:v>delusion</c:v>
                </c:pt>
                <c:pt idx="34">
                  <c:v>disorganized</c:v>
                </c:pt>
                <c:pt idx="35">
                  <c:v>disoriented</c:v>
                </c:pt>
                <c:pt idx="36">
                  <c:v>depersonalization</c:v>
                </c:pt>
                <c:pt idx="37">
                  <c:v>dissociation</c:v>
                </c:pt>
                <c:pt idx="38">
                  <c:v>excess_crying</c:v>
                </c:pt>
                <c:pt idx="39">
                  <c:v>excess_worry</c:v>
                </c:pt>
                <c:pt idx="40">
                  <c:v>excess_sweat</c:v>
                </c:pt>
                <c:pt idx="41">
                  <c:v>emptiness</c:v>
                </c:pt>
                <c:pt idx="42">
                  <c:v>escape</c:v>
                </c:pt>
                <c:pt idx="43">
                  <c:v>excess_dieting</c:v>
                </c:pt>
                <c:pt idx="44">
                  <c:v>fidget</c:v>
                </c:pt>
                <c:pt idx="45">
                  <c:v>fear_future</c:v>
                </c:pt>
                <c:pt idx="46">
                  <c:v>freq_sick</c:v>
                </c:pt>
                <c:pt idx="47">
                  <c:v>fatigue</c:v>
                </c:pt>
                <c:pt idx="48">
                  <c:v>fear_gen</c:v>
                </c:pt>
                <c:pt idx="49">
                  <c:v>fear_leave_home</c:v>
                </c:pt>
                <c:pt idx="50">
                  <c:v>fear_crowds</c:v>
                </c:pt>
                <c:pt idx="51">
                  <c:v>fear_judgment</c:v>
                </c:pt>
                <c:pt idx="52">
                  <c:v>flashbacks</c:v>
                </c:pt>
                <c:pt idx="53">
                  <c:v>forgetful</c:v>
                </c:pt>
                <c:pt idx="54">
                  <c:v>hypervigilance</c:v>
                </c:pt>
                <c:pt idx="55">
                  <c:v>headaches</c:v>
                </c:pt>
                <c:pt idx="56">
                  <c:v>hopelessness</c:v>
                </c:pt>
                <c:pt idx="57">
                  <c:v>hyperactive</c:v>
                </c:pt>
                <c:pt idx="58">
                  <c:v>hypersexual</c:v>
                </c:pt>
                <c:pt idx="59">
                  <c:v>hallucinations</c:v>
                </c:pt>
                <c:pt idx="60">
                  <c:v>insomnia</c:v>
                </c:pt>
                <c:pt idx="61">
                  <c:v>irritable</c:v>
                </c:pt>
                <c:pt idx="62">
                  <c:v>intrusive_thoughts</c:v>
                </c:pt>
                <c:pt idx="63">
                  <c:v>impulsive</c:v>
                </c:pt>
                <c:pt idx="64">
                  <c:v>indecisive</c:v>
                </c:pt>
                <c:pt idx="65">
                  <c:v>impaired_memory</c:v>
                </c:pt>
                <c:pt idx="66">
                  <c:v>anhedonia</c:v>
                </c:pt>
                <c:pt idx="67">
                  <c:v>lying</c:v>
                </c:pt>
                <c:pt idx="68">
                  <c:v>low_self_esteem</c:v>
                </c:pt>
                <c:pt idx="69">
                  <c:v>muscle tension</c:v>
                </c:pt>
                <c:pt idx="70">
                  <c:v>mania</c:v>
                </c:pt>
                <c:pt idx="71">
                  <c:v>nervous</c:v>
                </c:pt>
                <c:pt idx="72">
                  <c:v>numbing</c:v>
                </c:pt>
                <c:pt idx="73">
                  <c:v>neglect_respon</c:v>
                </c:pt>
                <c:pt idx="74">
                  <c:v>not_eating</c:v>
                </c:pt>
                <c:pt idx="75">
                  <c:v>overwhelmed</c:v>
                </c:pt>
                <c:pt idx="76">
                  <c:v>obsessions</c:v>
                </c:pt>
                <c:pt idx="77">
                  <c:v>obsessions_weight</c:v>
                </c:pt>
                <c:pt idx="78">
                  <c:v>panic_attack</c:v>
                </c:pt>
                <c:pt idx="79">
                  <c:v>pessimism</c:v>
                </c:pt>
                <c:pt idx="80">
                  <c:v>productivity</c:v>
                </c:pt>
                <c:pt idx="81">
                  <c:v>paranoia</c:v>
                </c:pt>
                <c:pt idx="82">
                  <c:v>nightmares</c:v>
                </c:pt>
                <c:pt idx="83">
                  <c:v>restlessness</c:v>
                </c:pt>
                <c:pt idx="84">
                  <c:v>rapid_heartbeat</c:v>
                </c:pt>
                <c:pt idx="85">
                  <c:v>reduced_libido</c:v>
                </c:pt>
                <c:pt idx="86">
                  <c:v>ritualistic</c:v>
                </c:pt>
                <c:pt idx="87">
                  <c:v>rumination</c:v>
                </c:pt>
                <c:pt idx="88">
                  <c:v>racing_thoughts</c:v>
                </c:pt>
                <c:pt idx="89">
                  <c:v>risk_taking</c:v>
                </c:pt>
                <c:pt idx="90">
                  <c:v>rapid_speech</c:v>
                </c:pt>
                <c:pt idx="91">
                  <c:v>relationship_issues</c:v>
                </c:pt>
                <c:pt idx="92">
                  <c:v>short_breath</c:v>
                </c:pt>
                <c:pt idx="93">
                  <c:v>skin_rash</c:v>
                </c:pt>
                <c:pt idx="94">
                  <c:v>self_harm</c:v>
                </c:pt>
                <c:pt idx="95">
                  <c:v>self_blame</c:v>
                </c:pt>
                <c:pt idx="96">
                  <c:v>sleep_disturb</c:v>
                </c:pt>
                <c:pt idx="97">
                  <c:v>superiority</c:v>
                </c:pt>
                <c:pt idx="98">
                  <c:v>secrecy</c:v>
                </c:pt>
                <c:pt idx="99">
                  <c:v>substance_use</c:v>
                </c:pt>
                <c:pt idx="100">
                  <c:v>sadness</c:v>
                </c:pt>
                <c:pt idx="101">
                  <c:v>trouble_relax</c:v>
                </c:pt>
                <c:pt idx="102">
                  <c:v>thin_hair</c:v>
                </c:pt>
                <c:pt idx="103">
                  <c:v>tolerance</c:v>
                </c:pt>
                <c:pt idx="104">
                  <c:v>upset_stomach</c:v>
                </c:pt>
                <c:pt idx="105">
                  <c:v>worthlessness</c:v>
                </c:pt>
                <c:pt idx="106">
                  <c:v>weight_changes</c:v>
                </c:pt>
                <c:pt idx="107">
                  <c:v>withdrawal</c:v>
                </c:pt>
              </c:strCache>
            </c:strRef>
          </c:cat>
          <c:val>
            <c:numRef>
              <c:f>Formulas!$E$3:$E$110</c:f>
              <c:numCache>
                <c:formatCode>General</c:formatCode>
                <c:ptCount val="10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1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2E-4814-9031-365D34DC7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5703712"/>
        <c:axId val="8011072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Formulas!$B$2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Formulas!$A$3:$A$110</c15:sqref>
                        </c15:formulaRef>
                      </c:ext>
                    </c:extLst>
                    <c:strCache>
                      <c:ptCount val="108"/>
                      <c:pt idx="0">
                        <c:v>avoidance_gen</c:v>
                      </c:pt>
                      <c:pt idx="1">
                        <c:v>anger</c:v>
                      </c:pt>
                      <c:pt idx="2">
                        <c:v>appetite</c:v>
                      </c:pt>
                      <c:pt idx="3">
                        <c:v>anxiety</c:v>
                      </c:pt>
                      <c:pt idx="4">
                        <c:v>avoidance_social</c:v>
                      </c:pt>
                      <c:pt idx="5">
                        <c:v>avoidance_presentations</c:v>
                      </c:pt>
                      <c:pt idx="6">
                        <c:v>avoidance_memories</c:v>
                      </c:pt>
                      <c:pt idx="7">
                        <c:v>avoidance_meals</c:v>
                      </c:pt>
                      <c:pt idx="8">
                        <c:v>aggression</c:v>
                      </c:pt>
                      <c:pt idx="9">
                        <c:v>agitation</c:v>
                      </c:pt>
                      <c:pt idx="10">
                        <c:v>attention</c:v>
                      </c:pt>
                      <c:pt idx="11">
                        <c:v>acceptance</c:v>
                      </c:pt>
                      <c:pt idx="12">
                        <c:v>body_image</c:v>
                      </c:pt>
                      <c:pt idx="13">
                        <c:v>binge</c:v>
                      </c:pt>
                      <c:pt idx="14">
                        <c:v>boredom</c:v>
                      </c:pt>
                      <c:pt idx="15">
                        <c:v>blackouts</c:v>
                      </c:pt>
                      <c:pt idx="16">
                        <c:v>control</c:v>
                      </c:pt>
                      <c:pt idx="17">
                        <c:v>chronic_pain</c:v>
                      </c:pt>
                      <c:pt idx="18">
                        <c:v>cardiac_unsp</c:v>
                      </c:pt>
                      <c:pt idx="19">
                        <c:v>chest_pain</c:v>
                      </c:pt>
                      <c:pt idx="20">
                        <c:v>compulsions</c:v>
                      </c:pt>
                      <c:pt idx="21">
                        <c:v>checking_behav</c:v>
                      </c:pt>
                      <c:pt idx="22">
                        <c:v>counting_behav</c:v>
                      </c:pt>
                      <c:pt idx="23">
                        <c:v>craving</c:v>
                      </c:pt>
                      <c:pt idx="24">
                        <c:v>confused_speech</c:v>
                      </c:pt>
                      <c:pt idx="25">
                        <c:v>communication</c:v>
                      </c:pt>
                      <c:pt idx="26">
                        <c:v>compulsive_eating</c:v>
                      </c:pt>
                      <c:pt idx="27">
                        <c:v>catastrophizing</c:v>
                      </c:pt>
                      <c:pt idx="28">
                        <c:v>dizziness</c:v>
                      </c:pt>
                      <c:pt idx="29">
                        <c:v>depression</c:v>
                      </c:pt>
                      <c:pt idx="30">
                        <c:v>detachment</c:v>
                      </c:pt>
                      <c:pt idx="31">
                        <c:v>disability</c:v>
                      </c:pt>
                      <c:pt idx="32">
                        <c:v>distress_memories</c:v>
                      </c:pt>
                      <c:pt idx="33">
                        <c:v>delusion</c:v>
                      </c:pt>
                      <c:pt idx="34">
                        <c:v>disorganized</c:v>
                      </c:pt>
                      <c:pt idx="35">
                        <c:v>disoriented</c:v>
                      </c:pt>
                      <c:pt idx="36">
                        <c:v>depersonalization</c:v>
                      </c:pt>
                      <c:pt idx="37">
                        <c:v>dissociation</c:v>
                      </c:pt>
                      <c:pt idx="38">
                        <c:v>excess_crying</c:v>
                      </c:pt>
                      <c:pt idx="39">
                        <c:v>excess_worry</c:v>
                      </c:pt>
                      <c:pt idx="40">
                        <c:v>excess_sweat</c:v>
                      </c:pt>
                      <c:pt idx="41">
                        <c:v>emptiness</c:v>
                      </c:pt>
                      <c:pt idx="42">
                        <c:v>escape</c:v>
                      </c:pt>
                      <c:pt idx="43">
                        <c:v>excess_dieting</c:v>
                      </c:pt>
                      <c:pt idx="44">
                        <c:v>fidget</c:v>
                      </c:pt>
                      <c:pt idx="45">
                        <c:v>fear_future</c:v>
                      </c:pt>
                      <c:pt idx="46">
                        <c:v>freq_sick</c:v>
                      </c:pt>
                      <c:pt idx="47">
                        <c:v>fatigue</c:v>
                      </c:pt>
                      <c:pt idx="48">
                        <c:v>fear_gen</c:v>
                      </c:pt>
                      <c:pt idx="49">
                        <c:v>fear_leave_home</c:v>
                      </c:pt>
                      <c:pt idx="50">
                        <c:v>fear_crowds</c:v>
                      </c:pt>
                      <c:pt idx="51">
                        <c:v>fear_judgment</c:v>
                      </c:pt>
                      <c:pt idx="52">
                        <c:v>flashbacks</c:v>
                      </c:pt>
                      <c:pt idx="53">
                        <c:v>forgetful</c:v>
                      </c:pt>
                      <c:pt idx="54">
                        <c:v>hypervigilance</c:v>
                      </c:pt>
                      <c:pt idx="55">
                        <c:v>headaches</c:v>
                      </c:pt>
                      <c:pt idx="56">
                        <c:v>hopelessness</c:v>
                      </c:pt>
                      <c:pt idx="57">
                        <c:v>hyperactive</c:v>
                      </c:pt>
                      <c:pt idx="58">
                        <c:v>hypersexual</c:v>
                      </c:pt>
                      <c:pt idx="59">
                        <c:v>hallucinations</c:v>
                      </c:pt>
                      <c:pt idx="60">
                        <c:v>insomnia</c:v>
                      </c:pt>
                      <c:pt idx="61">
                        <c:v>irritable</c:v>
                      </c:pt>
                      <c:pt idx="62">
                        <c:v>intrusive_thoughts</c:v>
                      </c:pt>
                      <c:pt idx="63">
                        <c:v>impulsive</c:v>
                      </c:pt>
                      <c:pt idx="64">
                        <c:v>indecisive</c:v>
                      </c:pt>
                      <c:pt idx="65">
                        <c:v>impaired_memory</c:v>
                      </c:pt>
                      <c:pt idx="66">
                        <c:v>anhedonia</c:v>
                      </c:pt>
                      <c:pt idx="67">
                        <c:v>lying</c:v>
                      </c:pt>
                      <c:pt idx="68">
                        <c:v>low_self_esteem</c:v>
                      </c:pt>
                      <c:pt idx="69">
                        <c:v>muscle tension</c:v>
                      </c:pt>
                      <c:pt idx="70">
                        <c:v>mania</c:v>
                      </c:pt>
                      <c:pt idx="71">
                        <c:v>nervous</c:v>
                      </c:pt>
                      <c:pt idx="72">
                        <c:v>numbing</c:v>
                      </c:pt>
                      <c:pt idx="73">
                        <c:v>neglect_respon</c:v>
                      </c:pt>
                      <c:pt idx="74">
                        <c:v>not_eating</c:v>
                      </c:pt>
                      <c:pt idx="75">
                        <c:v>overwhelmed</c:v>
                      </c:pt>
                      <c:pt idx="76">
                        <c:v>obsessions</c:v>
                      </c:pt>
                      <c:pt idx="77">
                        <c:v>obsessions_weight</c:v>
                      </c:pt>
                      <c:pt idx="78">
                        <c:v>panic_attack</c:v>
                      </c:pt>
                      <c:pt idx="79">
                        <c:v>pessimism</c:v>
                      </c:pt>
                      <c:pt idx="80">
                        <c:v>productivity</c:v>
                      </c:pt>
                      <c:pt idx="81">
                        <c:v>paranoia</c:v>
                      </c:pt>
                      <c:pt idx="82">
                        <c:v>nightmares</c:v>
                      </c:pt>
                      <c:pt idx="83">
                        <c:v>restlessness</c:v>
                      </c:pt>
                      <c:pt idx="84">
                        <c:v>rapid_heartbeat</c:v>
                      </c:pt>
                      <c:pt idx="85">
                        <c:v>reduced_libido</c:v>
                      </c:pt>
                      <c:pt idx="86">
                        <c:v>ritualistic</c:v>
                      </c:pt>
                      <c:pt idx="87">
                        <c:v>rumination</c:v>
                      </c:pt>
                      <c:pt idx="88">
                        <c:v>racing_thoughts</c:v>
                      </c:pt>
                      <c:pt idx="89">
                        <c:v>risk_taking</c:v>
                      </c:pt>
                      <c:pt idx="90">
                        <c:v>rapid_speech</c:v>
                      </c:pt>
                      <c:pt idx="91">
                        <c:v>relationship_issues</c:v>
                      </c:pt>
                      <c:pt idx="92">
                        <c:v>short_breath</c:v>
                      </c:pt>
                      <c:pt idx="93">
                        <c:v>skin_rash</c:v>
                      </c:pt>
                      <c:pt idx="94">
                        <c:v>self_harm</c:v>
                      </c:pt>
                      <c:pt idx="95">
                        <c:v>self_blame</c:v>
                      </c:pt>
                      <c:pt idx="96">
                        <c:v>sleep_disturb</c:v>
                      </c:pt>
                      <c:pt idx="97">
                        <c:v>superiority</c:v>
                      </c:pt>
                      <c:pt idx="98">
                        <c:v>secrecy</c:v>
                      </c:pt>
                      <c:pt idx="99">
                        <c:v>substance_use</c:v>
                      </c:pt>
                      <c:pt idx="100">
                        <c:v>sadness</c:v>
                      </c:pt>
                      <c:pt idx="101">
                        <c:v>trouble_relax</c:v>
                      </c:pt>
                      <c:pt idx="102">
                        <c:v>thin_hair</c:v>
                      </c:pt>
                      <c:pt idx="103">
                        <c:v>tolerance</c:v>
                      </c:pt>
                      <c:pt idx="104">
                        <c:v>upset_stomach</c:v>
                      </c:pt>
                      <c:pt idx="105">
                        <c:v>worthlessness</c:v>
                      </c:pt>
                      <c:pt idx="106">
                        <c:v>weight_changes</c:v>
                      </c:pt>
                      <c:pt idx="107">
                        <c:v>withdrawal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Formulas!$B$3:$B$110</c15:sqref>
                        </c15:formulaRef>
                      </c:ext>
                    </c:extLst>
                    <c:numCache>
                      <c:formatCode>General</c:formatCode>
                      <c:ptCount val="108"/>
                      <c:pt idx="0">
                        <c:v>14</c:v>
                      </c:pt>
                      <c:pt idx="1">
                        <c:v>19</c:v>
                      </c:pt>
                      <c:pt idx="2">
                        <c:v>6</c:v>
                      </c:pt>
                      <c:pt idx="3">
                        <c:v>54</c:v>
                      </c:pt>
                      <c:pt idx="4">
                        <c:v>19</c:v>
                      </c:pt>
                      <c:pt idx="5">
                        <c:v>2</c:v>
                      </c:pt>
                      <c:pt idx="6">
                        <c:v>5</c:v>
                      </c:pt>
                      <c:pt idx="7">
                        <c:v>1</c:v>
                      </c:pt>
                      <c:pt idx="8">
                        <c:v>5</c:v>
                      </c:pt>
                      <c:pt idx="9">
                        <c:v>12</c:v>
                      </c:pt>
                      <c:pt idx="10">
                        <c:v>31</c:v>
                      </c:pt>
                      <c:pt idx="11">
                        <c:v>6</c:v>
                      </c:pt>
                      <c:pt idx="12">
                        <c:v>24</c:v>
                      </c:pt>
                      <c:pt idx="13">
                        <c:v>5</c:v>
                      </c:pt>
                      <c:pt idx="14">
                        <c:v>3</c:v>
                      </c:pt>
                      <c:pt idx="15">
                        <c:v>0</c:v>
                      </c:pt>
                      <c:pt idx="16">
                        <c:v>3</c:v>
                      </c:pt>
                      <c:pt idx="17">
                        <c:v>15</c:v>
                      </c:pt>
                      <c:pt idx="18">
                        <c:v>2</c:v>
                      </c:pt>
                      <c:pt idx="19">
                        <c:v>5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0</c:v>
                      </c:pt>
                      <c:pt idx="23">
                        <c:v>5</c:v>
                      </c:pt>
                      <c:pt idx="24">
                        <c:v>0</c:v>
                      </c:pt>
                      <c:pt idx="25">
                        <c:v>2</c:v>
                      </c:pt>
                      <c:pt idx="26">
                        <c:v>8</c:v>
                      </c:pt>
                      <c:pt idx="27">
                        <c:v>3</c:v>
                      </c:pt>
                      <c:pt idx="28">
                        <c:v>4</c:v>
                      </c:pt>
                      <c:pt idx="29">
                        <c:v>22</c:v>
                      </c:pt>
                      <c:pt idx="30">
                        <c:v>5</c:v>
                      </c:pt>
                      <c:pt idx="31">
                        <c:v>1</c:v>
                      </c:pt>
                      <c:pt idx="32">
                        <c:v>5</c:v>
                      </c:pt>
                      <c:pt idx="33">
                        <c:v>0</c:v>
                      </c:pt>
                      <c:pt idx="34">
                        <c:v>7</c:v>
                      </c:pt>
                      <c:pt idx="35">
                        <c:v>2</c:v>
                      </c:pt>
                      <c:pt idx="36">
                        <c:v>1</c:v>
                      </c:pt>
                      <c:pt idx="37">
                        <c:v>5</c:v>
                      </c:pt>
                      <c:pt idx="38">
                        <c:v>2</c:v>
                      </c:pt>
                      <c:pt idx="39">
                        <c:v>16</c:v>
                      </c:pt>
                      <c:pt idx="40">
                        <c:v>0</c:v>
                      </c:pt>
                      <c:pt idx="41">
                        <c:v>7</c:v>
                      </c:pt>
                      <c:pt idx="42">
                        <c:v>7</c:v>
                      </c:pt>
                      <c:pt idx="43">
                        <c:v>0</c:v>
                      </c:pt>
                      <c:pt idx="44">
                        <c:v>3</c:v>
                      </c:pt>
                      <c:pt idx="45">
                        <c:v>11</c:v>
                      </c:pt>
                      <c:pt idx="46">
                        <c:v>4</c:v>
                      </c:pt>
                      <c:pt idx="47">
                        <c:v>27</c:v>
                      </c:pt>
                      <c:pt idx="48">
                        <c:v>2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8</c:v>
                      </c:pt>
                      <c:pt idx="52">
                        <c:v>2</c:v>
                      </c:pt>
                      <c:pt idx="53">
                        <c:v>8</c:v>
                      </c:pt>
                      <c:pt idx="54">
                        <c:v>4</c:v>
                      </c:pt>
                      <c:pt idx="55">
                        <c:v>13</c:v>
                      </c:pt>
                      <c:pt idx="56">
                        <c:v>9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12</c:v>
                      </c:pt>
                      <c:pt idx="61">
                        <c:v>11</c:v>
                      </c:pt>
                      <c:pt idx="62">
                        <c:v>3</c:v>
                      </c:pt>
                      <c:pt idx="63">
                        <c:v>2</c:v>
                      </c:pt>
                      <c:pt idx="64">
                        <c:v>13</c:v>
                      </c:pt>
                      <c:pt idx="65">
                        <c:v>8</c:v>
                      </c:pt>
                      <c:pt idx="66">
                        <c:v>8</c:v>
                      </c:pt>
                      <c:pt idx="67">
                        <c:v>0</c:v>
                      </c:pt>
                      <c:pt idx="68">
                        <c:v>11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8</c:v>
                      </c:pt>
                      <c:pt idx="72">
                        <c:v>4</c:v>
                      </c:pt>
                      <c:pt idx="73">
                        <c:v>6</c:v>
                      </c:pt>
                      <c:pt idx="74">
                        <c:v>4</c:v>
                      </c:pt>
                      <c:pt idx="75">
                        <c:v>29</c:v>
                      </c:pt>
                      <c:pt idx="76">
                        <c:v>3</c:v>
                      </c:pt>
                      <c:pt idx="77">
                        <c:v>3</c:v>
                      </c:pt>
                      <c:pt idx="78">
                        <c:v>1</c:v>
                      </c:pt>
                      <c:pt idx="79">
                        <c:v>4</c:v>
                      </c:pt>
                      <c:pt idx="80">
                        <c:v>10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7</c:v>
                      </c:pt>
                      <c:pt idx="84">
                        <c:v>1</c:v>
                      </c:pt>
                      <c:pt idx="85">
                        <c:v>10</c:v>
                      </c:pt>
                      <c:pt idx="86">
                        <c:v>0</c:v>
                      </c:pt>
                      <c:pt idx="87">
                        <c:v>8</c:v>
                      </c:pt>
                      <c:pt idx="88">
                        <c:v>2</c:v>
                      </c:pt>
                      <c:pt idx="89">
                        <c:v>1</c:v>
                      </c:pt>
                      <c:pt idx="90">
                        <c:v>0</c:v>
                      </c:pt>
                      <c:pt idx="91">
                        <c:v>8</c:v>
                      </c:pt>
                      <c:pt idx="92">
                        <c:v>5</c:v>
                      </c:pt>
                      <c:pt idx="93">
                        <c:v>7</c:v>
                      </c:pt>
                      <c:pt idx="94">
                        <c:v>0</c:v>
                      </c:pt>
                      <c:pt idx="95">
                        <c:v>2</c:v>
                      </c:pt>
                      <c:pt idx="96">
                        <c:v>9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1</c:v>
                      </c:pt>
                      <c:pt idx="100">
                        <c:v>5</c:v>
                      </c:pt>
                      <c:pt idx="101">
                        <c:v>13</c:v>
                      </c:pt>
                      <c:pt idx="102">
                        <c:v>1</c:v>
                      </c:pt>
                      <c:pt idx="103">
                        <c:v>0</c:v>
                      </c:pt>
                      <c:pt idx="104">
                        <c:v>9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E2E-4814-9031-365D34DC73D7}"/>
                  </c:ext>
                </c:extLst>
              </c15:ser>
            </c15:filteredBarSeries>
          </c:ext>
        </c:extLst>
      </c:barChart>
      <c:catAx>
        <c:axId val="68570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107288"/>
        <c:crosses val="autoZero"/>
        <c:auto val="1"/>
        <c:lblAlgn val="ctr"/>
        <c:lblOffset val="100"/>
        <c:noMultiLvlLbl val="0"/>
      </c:catAx>
      <c:valAx>
        <c:axId val="80110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0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Formulas!$P$6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Formulas!$O$7:$O$20</c:f>
              <c:strCache>
                <c:ptCount val="14"/>
                <c:pt idx="0">
                  <c:v>journaling</c:v>
                </c:pt>
                <c:pt idx="1">
                  <c:v>breathwork</c:v>
                </c:pt>
                <c:pt idx="2">
                  <c:v>meditation</c:v>
                </c:pt>
                <c:pt idx="3">
                  <c:v>creative_art</c:v>
                </c:pt>
                <c:pt idx="4">
                  <c:v>mindfulness</c:v>
                </c:pt>
                <c:pt idx="5">
                  <c:v>guided_imagery</c:v>
                </c:pt>
                <c:pt idx="6">
                  <c:v>exercise</c:v>
                </c:pt>
                <c:pt idx="7">
                  <c:v>yoga</c:v>
                </c:pt>
                <c:pt idx="8">
                  <c:v>tai_chi</c:v>
                </c:pt>
                <c:pt idx="9">
                  <c:v>qi_gong</c:v>
                </c:pt>
                <c:pt idx="10">
                  <c:v>dance</c:v>
                </c:pt>
                <c:pt idx="11">
                  <c:v>music</c:v>
                </c:pt>
                <c:pt idx="12">
                  <c:v>social_support</c:v>
                </c:pt>
                <c:pt idx="13">
                  <c:v>CBT</c:v>
                </c:pt>
              </c:strCache>
            </c:strRef>
          </c:cat>
          <c:val>
            <c:numRef>
              <c:f>Formulas!$P$7:$P$20</c:f>
              <c:numCache>
                <c:formatCode>General</c:formatCode>
                <c:ptCount val="14"/>
                <c:pt idx="0">
                  <c:v>77</c:v>
                </c:pt>
                <c:pt idx="1">
                  <c:v>95</c:v>
                </c:pt>
                <c:pt idx="2">
                  <c:v>92</c:v>
                </c:pt>
                <c:pt idx="3">
                  <c:v>88</c:v>
                </c:pt>
                <c:pt idx="4">
                  <c:v>93</c:v>
                </c:pt>
                <c:pt idx="5">
                  <c:v>86</c:v>
                </c:pt>
                <c:pt idx="6">
                  <c:v>94</c:v>
                </c:pt>
                <c:pt idx="7">
                  <c:v>87</c:v>
                </c:pt>
                <c:pt idx="8">
                  <c:v>92</c:v>
                </c:pt>
                <c:pt idx="9">
                  <c:v>91</c:v>
                </c:pt>
                <c:pt idx="10">
                  <c:v>88</c:v>
                </c:pt>
                <c:pt idx="11">
                  <c:v>96</c:v>
                </c:pt>
                <c:pt idx="12">
                  <c:v>90</c:v>
                </c:pt>
                <c:pt idx="1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21-493C-8969-403065178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700104"/>
        <c:axId val="685704696"/>
      </c:barChart>
      <c:catAx>
        <c:axId val="68570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04696"/>
        <c:crosses val="autoZero"/>
        <c:auto val="1"/>
        <c:lblAlgn val="ctr"/>
        <c:lblOffset val="100"/>
        <c:noMultiLvlLbl val="0"/>
      </c:catAx>
      <c:valAx>
        <c:axId val="68570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00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do they join Neolth?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4FD-42CD-BB93-1A1D8C949A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4FD-42CD-BB93-1A1D8C949A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4FD-42CD-BB93-1A1D8C949AB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4FD-42CD-BB93-1A1D8C949A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Formulas!$O$23:$R$23</c:f>
              <c:strCache>
                <c:ptCount val="4"/>
                <c:pt idx="0">
                  <c:v>School</c:v>
                </c:pt>
                <c:pt idx="1">
                  <c:v>Employer</c:v>
                </c:pt>
                <c:pt idx="2">
                  <c:v>Healthcare provider or doctor</c:v>
                </c:pt>
                <c:pt idx="3">
                  <c:v>Others</c:v>
                </c:pt>
              </c:strCache>
            </c:strRef>
          </c:cat>
          <c:val>
            <c:numRef>
              <c:f>Formulas!$O$24:$R$24</c:f>
              <c:numCache>
                <c:formatCode>General</c:formatCode>
                <c:ptCount val="4"/>
                <c:pt idx="0">
                  <c:v>18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FD-42CD-BB93-1A1D8C949AB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190500</xdr:rowOff>
    </xdr:from>
    <xdr:to>
      <xdr:col>11</xdr:col>
      <xdr:colOff>619126</xdr:colOff>
      <xdr:row>17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88DF36-7E58-4A78-8389-4687D4830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476250</xdr:colOff>
      <xdr:row>1</xdr:row>
      <xdr:rowOff>19050</xdr:rowOff>
    </xdr:from>
    <xdr:to>
      <xdr:col>23</xdr:col>
      <xdr:colOff>38100</xdr:colOff>
      <xdr:row>17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2EAB81-C3BB-4E42-913B-6FBC011A5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485775</xdr:colOff>
      <xdr:row>18</xdr:row>
      <xdr:rowOff>19050</xdr:rowOff>
    </xdr:from>
    <xdr:to>
      <xdr:col>23</xdr:col>
      <xdr:colOff>28575</xdr:colOff>
      <xdr:row>35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A03ACE-04AA-425F-9E04-E6FB66349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19049</xdr:colOff>
      <xdr:row>17</xdr:row>
      <xdr:rowOff>142875</xdr:rowOff>
    </xdr:from>
    <xdr:to>
      <xdr:col>11</xdr:col>
      <xdr:colOff>657224</xdr:colOff>
      <xdr:row>35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5B660B-EAA2-42DF-B1DD-5E4B25EC0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85725</xdr:colOff>
      <xdr:row>54</xdr:row>
      <xdr:rowOff>171449</xdr:rowOff>
    </xdr:from>
    <xdr:to>
      <xdr:col>21</xdr:col>
      <xdr:colOff>257175</xdr:colOff>
      <xdr:row>93</xdr:row>
      <xdr:rowOff>161926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594A2F6-EEAE-4646-A192-B9DF3C330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133349</xdr:colOff>
      <xdr:row>94</xdr:row>
      <xdr:rowOff>123824</xdr:rowOff>
    </xdr:from>
    <xdr:to>
      <xdr:col>25</xdr:col>
      <xdr:colOff>495300</xdr:colOff>
      <xdr:row>117</xdr:row>
      <xdr:rowOff>200024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D1663A0-540A-40E6-B6AE-0285897D6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28575</xdr:colOff>
      <xdr:row>36</xdr:row>
      <xdr:rowOff>95250</xdr:rowOff>
    </xdr:from>
    <xdr:to>
      <xdr:col>14</xdr:col>
      <xdr:colOff>485775</xdr:colOff>
      <xdr:row>54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E6D4DEC-EADF-4EF2-ABFB-A81432C3A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619125</xdr:colOff>
      <xdr:row>36</xdr:row>
      <xdr:rowOff>114299</xdr:rowOff>
    </xdr:from>
    <xdr:to>
      <xdr:col>24</xdr:col>
      <xdr:colOff>85725</xdr:colOff>
      <xdr:row>54</xdr:row>
      <xdr:rowOff>9524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98318EE-92F4-4B3F-B46F-F9C3643B6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4"/>
  <sheetViews>
    <sheetView tabSelected="1" workbookViewId="0">
      <selection activeCell="D20" sqref="D20"/>
    </sheetView>
  </sheetViews>
  <sheetFormatPr defaultRowHeight="15.75" x14ac:dyDescent="0.25"/>
  <cols>
    <col min="1" max="1" width="50.25" customWidth="1"/>
    <col min="2" max="2" width="42.625" style="9" customWidth="1"/>
    <col min="3" max="3" width="9" customWidth="1"/>
    <col min="4" max="4" width="32.625" customWidth="1"/>
    <col min="5" max="5" width="57.125" customWidth="1"/>
    <col min="6" max="6" width="35.5" customWidth="1"/>
    <col min="7" max="7" width="16.375" customWidth="1"/>
    <col min="8" max="8" width="31.75" customWidth="1"/>
    <col min="10" max="10" width="13" customWidth="1"/>
  </cols>
  <sheetData>
    <row r="1" spans="1:9" x14ac:dyDescent="0.25">
      <c r="A1" s="7" t="s">
        <v>0</v>
      </c>
      <c r="B1" s="10" t="s">
        <v>391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</row>
    <row r="2" spans="1:9" x14ac:dyDescent="0.25">
      <c r="A2" s="7"/>
      <c r="B2" s="11" t="s">
        <v>11</v>
      </c>
      <c r="C2" s="11" t="s">
        <v>8</v>
      </c>
      <c r="D2" s="11" t="s">
        <v>9</v>
      </c>
      <c r="E2" s="11" t="s">
        <v>10</v>
      </c>
      <c r="F2" s="11" t="s">
        <v>321</v>
      </c>
      <c r="G2" s="11" t="s">
        <v>12</v>
      </c>
      <c r="H2" s="11" t="s">
        <v>13</v>
      </c>
      <c r="I2" s="11" t="s">
        <v>27</v>
      </c>
    </row>
    <row r="3" spans="1:9" x14ac:dyDescent="0.25">
      <c r="A3" s="7"/>
      <c r="B3" s="11" t="s">
        <v>11</v>
      </c>
      <c r="C3" s="11" t="s">
        <v>14</v>
      </c>
      <c r="D3" s="11" t="s">
        <v>9</v>
      </c>
      <c r="E3" s="11" t="s">
        <v>15</v>
      </c>
      <c r="F3" s="11" t="s">
        <v>16</v>
      </c>
      <c r="G3" s="11" t="s">
        <v>17</v>
      </c>
      <c r="H3" s="11" t="s">
        <v>13</v>
      </c>
      <c r="I3" s="11" t="s">
        <v>18</v>
      </c>
    </row>
    <row r="4" spans="1:9" x14ac:dyDescent="0.25">
      <c r="A4" s="7"/>
      <c r="B4" s="11" t="s">
        <v>11</v>
      </c>
      <c r="C4" s="11" t="s">
        <v>14</v>
      </c>
      <c r="D4" s="11" t="s">
        <v>19</v>
      </c>
      <c r="E4" s="11" t="s">
        <v>20</v>
      </c>
      <c r="F4" s="11" t="s">
        <v>11</v>
      </c>
      <c r="G4" s="11" t="s">
        <v>21</v>
      </c>
      <c r="H4" s="11" t="s">
        <v>22</v>
      </c>
      <c r="I4" s="11" t="s">
        <v>23</v>
      </c>
    </row>
    <row r="5" spans="1:9" x14ac:dyDescent="0.25">
      <c r="A5" s="7"/>
      <c r="B5" s="11"/>
      <c r="C5" s="11"/>
      <c r="D5" s="11"/>
      <c r="E5" s="11"/>
      <c r="F5" s="11"/>
      <c r="G5" s="11"/>
      <c r="H5" s="11"/>
      <c r="I5" s="11"/>
    </row>
    <row r="6" spans="1:9" x14ac:dyDescent="0.25">
      <c r="A6" s="7"/>
      <c r="B6" s="11" t="s">
        <v>11</v>
      </c>
      <c r="C6" s="11" t="s">
        <v>14</v>
      </c>
      <c r="D6" s="11" t="s">
        <v>19</v>
      </c>
      <c r="E6" s="11" t="s">
        <v>25</v>
      </c>
      <c r="F6" s="11" t="s">
        <v>26</v>
      </c>
      <c r="G6" s="11" t="s">
        <v>17</v>
      </c>
      <c r="H6" s="11" t="s">
        <v>13</v>
      </c>
      <c r="I6" s="11" t="s">
        <v>27</v>
      </c>
    </row>
    <row r="7" spans="1:9" x14ac:dyDescent="0.25">
      <c r="A7" s="7"/>
      <c r="B7" s="11" t="s">
        <v>11</v>
      </c>
      <c r="C7" s="11" t="s">
        <v>14</v>
      </c>
      <c r="D7" s="11" t="s">
        <v>28</v>
      </c>
      <c r="E7" s="11" t="s">
        <v>25</v>
      </c>
      <c r="F7" s="11" t="s">
        <v>29</v>
      </c>
      <c r="G7" s="11" t="s">
        <v>17</v>
      </c>
      <c r="H7" s="11" t="s">
        <v>13</v>
      </c>
      <c r="I7" s="11" t="s">
        <v>30</v>
      </c>
    </row>
    <row r="8" spans="1:9" x14ac:dyDescent="0.25">
      <c r="A8" s="7"/>
      <c r="B8" s="11"/>
      <c r="C8" s="11"/>
      <c r="D8" s="11"/>
      <c r="E8" s="11"/>
      <c r="F8" s="11"/>
      <c r="G8" s="11"/>
      <c r="H8" s="11"/>
      <c r="I8" s="11"/>
    </row>
    <row r="9" spans="1:9" x14ac:dyDescent="0.25">
      <c r="A9" s="7"/>
      <c r="B9" s="11" t="s">
        <v>11</v>
      </c>
      <c r="C9" s="11" t="s">
        <v>14</v>
      </c>
      <c r="D9" s="11" t="s">
        <v>9</v>
      </c>
      <c r="E9" s="11" t="s">
        <v>25</v>
      </c>
      <c r="F9" s="11" t="s">
        <v>32</v>
      </c>
      <c r="G9" s="11" t="s">
        <v>12</v>
      </c>
      <c r="H9" s="11" t="s">
        <v>13</v>
      </c>
      <c r="I9" s="11" t="s">
        <v>27</v>
      </c>
    </row>
    <row r="10" spans="1:9" x14ac:dyDescent="0.25">
      <c r="A10" s="7"/>
      <c r="B10" s="11" t="s">
        <v>11</v>
      </c>
      <c r="C10" s="11" t="s">
        <v>33</v>
      </c>
      <c r="D10" s="11" t="s">
        <v>9</v>
      </c>
      <c r="E10" s="11" t="s">
        <v>34</v>
      </c>
      <c r="F10" s="11" t="s">
        <v>11</v>
      </c>
      <c r="G10" s="11" t="s">
        <v>17</v>
      </c>
      <c r="H10" s="11" t="s">
        <v>13</v>
      </c>
      <c r="I10" s="11" t="s">
        <v>35</v>
      </c>
    </row>
    <row r="11" spans="1:9" x14ac:dyDescent="0.25">
      <c r="A11" s="7"/>
      <c r="B11" s="11" t="s">
        <v>11</v>
      </c>
      <c r="C11" s="11" t="s">
        <v>14</v>
      </c>
      <c r="D11" s="11" t="s">
        <v>9</v>
      </c>
      <c r="E11" s="11" t="s">
        <v>25</v>
      </c>
      <c r="F11" s="11" t="s">
        <v>36</v>
      </c>
      <c r="G11" s="11" t="s">
        <v>17</v>
      </c>
      <c r="H11" s="11" t="s">
        <v>37</v>
      </c>
      <c r="I11" s="11" t="s">
        <v>27</v>
      </c>
    </row>
    <row r="12" spans="1:9" x14ac:dyDescent="0.25">
      <c r="A12" s="7"/>
      <c r="B12" s="11" t="s">
        <v>11</v>
      </c>
      <c r="C12" s="11" t="s">
        <v>14</v>
      </c>
      <c r="D12" s="11" t="s">
        <v>9</v>
      </c>
      <c r="E12" s="11" t="s">
        <v>25</v>
      </c>
      <c r="F12" s="11" t="s">
        <v>322</v>
      </c>
      <c r="G12" s="11" t="s">
        <v>21</v>
      </c>
      <c r="H12" s="11" t="s">
        <v>31</v>
      </c>
      <c r="I12" s="11" t="s">
        <v>323</v>
      </c>
    </row>
    <row r="13" spans="1:9" x14ac:dyDescent="0.25">
      <c r="A13" s="7"/>
      <c r="B13" s="11"/>
      <c r="C13" s="11"/>
      <c r="D13" s="11"/>
      <c r="E13" s="11"/>
      <c r="F13" s="11"/>
      <c r="G13" s="11"/>
      <c r="H13" s="11"/>
      <c r="I13" s="11"/>
    </row>
    <row r="14" spans="1:9" x14ac:dyDescent="0.25">
      <c r="A14" s="7"/>
      <c r="B14" s="11" t="s">
        <v>11</v>
      </c>
      <c r="C14" s="11" t="s">
        <v>8</v>
      </c>
      <c r="D14" s="11" t="s">
        <v>9</v>
      </c>
      <c r="E14" s="11" t="s">
        <v>38</v>
      </c>
      <c r="F14" s="11" t="s">
        <v>39</v>
      </c>
      <c r="G14" s="11" t="s">
        <v>17</v>
      </c>
      <c r="H14" s="11" t="s">
        <v>13</v>
      </c>
      <c r="I14" s="11" t="s">
        <v>40</v>
      </c>
    </row>
    <row r="15" spans="1:9" x14ac:dyDescent="0.25">
      <c r="A15" s="7"/>
      <c r="B15" s="11"/>
      <c r="C15" s="11"/>
      <c r="D15" s="11"/>
      <c r="E15" s="11"/>
      <c r="F15" s="11"/>
      <c r="G15" s="11"/>
      <c r="H15" s="11"/>
      <c r="I15" s="11"/>
    </row>
    <row r="16" spans="1:9" x14ac:dyDescent="0.25">
      <c r="A16" s="7"/>
      <c r="B16" s="11"/>
      <c r="C16" s="11"/>
      <c r="D16" s="11"/>
      <c r="E16" s="11"/>
      <c r="F16" s="11"/>
      <c r="G16" s="11"/>
      <c r="H16" s="11"/>
      <c r="I16" s="11"/>
    </row>
    <row r="17" spans="1:9" x14ac:dyDescent="0.25">
      <c r="A17" s="7"/>
      <c r="B17" s="11" t="s">
        <v>11</v>
      </c>
      <c r="C17" s="11" t="s">
        <v>8</v>
      </c>
      <c r="D17" s="11" t="s">
        <v>9</v>
      </c>
      <c r="E17" s="11" t="s">
        <v>41</v>
      </c>
      <c r="F17" s="11" t="s">
        <v>42</v>
      </c>
      <c r="G17" s="11" t="s">
        <v>12</v>
      </c>
      <c r="H17" s="11" t="s">
        <v>13</v>
      </c>
      <c r="I17" s="11" t="s">
        <v>43</v>
      </c>
    </row>
    <row r="18" spans="1:9" x14ac:dyDescent="0.25">
      <c r="A18" s="7"/>
      <c r="B18" s="11" t="s">
        <v>11</v>
      </c>
      <c r="C18" s="11" t="s">
        <v>8</v>
      </c>
      <c r="D18" s="11" t="s">
        <v>9</v>
      </c>
      <c r="E18" s="11" t="s">
        <v>44</v>
      </c>
      <c r="F18" s="11" t="s">
        <v>45</v>
      </c>
      <c r="G18" s="11" t="s">
        <v>17</v>
      </c>
      <c r="H18" s="11" t="s">
        <v>13</v>
      </c>
      <c r="I18" s="11" t="s">
        <v>46</v>
      </c>
    </row>
    <row r="19" spans="1:9" x14ac:dyDescent="0.25">
      <c r="A19" s="7"/>
      <c r="B19" s="11" t="s">
        <v>11</v>
      </c>
      <c r="C19" s="11" t="s">
        <v>8</v>
      </c>
      <c r="D19" s="11" t="s">
        <v>24</v>
      </c>
      <c r="E19" s="11" t="s">
        <v>324</v>
      </c>
      <c r="F19" s="11" t="s">
        <v>325</v>
      </c>
      <c r="G19" s="11" t="s">
        <v>12</v>
      </c>
      <c r="H19" s="11" t="s">
        <v>13</v>
      </c>
      <c r="I19" s="11" t="s">
        <v>27</v>
      </c>
    </row>
    <row r="20" spans="1:9" x14ac:dyDescent="0.25">
      <c r="A20" s="7"/>
      <c r="B20" s="11" t="s">
        <v>11</v>
      </c>
      <c r="C20" s="11" t="s">
        <v>8</v>
      </c>
      <c r="D20" s="11" t="s">
        <v>9</v>
      </c>
      <c r="E20" s="11" t="s">
        <v>47</v>
      </c>
      <c r="F20" s="11" t="s">
        <v>48</v>
      </c>
      <c r="G20" s="11" t="s">
        <v>17</v>
      </c>
      <c r="H20" s="11" t="s">
        <v>13</v>
      </c>
      <c r="I20" s="11" t="s">
        <v>27</v>
      </c>
    </row>
    <row r="21" spans="1:9" x14ac:dyDescent="0.25">
      <c r="A21" s="7"/>
      <c r="B21" s="11" t="s">
        <v>11</v>
      </c>
      <c r="C21" s="11" t="s">
        <v>8</v>
      </c>
      <c r="D21" s="11" t="s">
        <v>9</v>
      </c>
      <c r="E21" s="11" t="s">
        <v>49</v>
      </c>
      <c r="F21" s="11" t="s">
        <v>50</v>
      </c>
      <c r="G21" s="11" t="s">
        <v>17</v>
      </c>
      <c r="H21" s="11" t="s">
        <v>13</v>
      </c>
      <c r="I21" s="11" t="s">
        <v>27</v>
      </c>
    </row>
    <row r="22" spans="1:9" x14ac:dyDescent="0.25">
      <c r="A22" s="7"/>
      <c r="B22" s="11" t="s">
        <v>11</v>
      </c>
      <c r="C22" s="11" t="s">
        <v>8</v>
      </c>
      <c r="D22" s="11" t="s">
        <v>19</v>
      </c>
      <c r="E22" s="11" t="s">
        <v>51</v>
      </c>
      <c r="F22" s="11" t="s">
        <v>52</v>
      </c>
      <c r="G22" s="11" t="s">
        <v>17</v>
      </c>
      <c r="H22" s="11" t="s">
        <v>13</v>
      </c>
      <c r="I22" s="11" t="s">
        <v>27</v>
      </c>
    </row>
    <row r="23" spans="1:9" x14ac:dyDescent="0.25">
      <c r="A23" s="7"/>
      <c r="B23" s="11" t="s">
        <v>11</v>
      </c>
      <c r="C23" s="11" t="s">
        <v>8</v>
      </c>
      <c r="D23" s="11" t="s">
        <v>19</v>
      </c>
      <c r="E23" s="11" t="s">
        <v>53</v>
      </c>
      <c r="F23" s="11" t="s">
        <v>54</v>
      </c>
      <c r="G23" s="11" t="s">
        <v>17</v>
      </c>
      <c r="H23" s="11" t="s">
        <v>13</v>
      </c>
      <c r="I23" s="11" t="s">
        <v>55</v>
      </c>
    </row>
    <row r="24" spans="1:9" x14ac:dyDescent="0.25">
      <c r="A24" s="7"/>
      <c r="B24" s="11" t="s">
        <v>11</v>
      </c>
      <c r="C24" s="11" t="s">
        <v>8</v>
      </c>
      <c r="D24" s="11" t="s">
        <v>9</v>
      </c>
      <c r="E24" s="11" t="s">
        <v>56</v>
      </c>
      <c r="F24" s="11" t="s">
        <v>57</v>
      </c>
      <c r="G24" s="11" t="s">
        <v>17</v>
      </c>
      <c r="H24" s="11" t="s">
        <v>13</v>
      </c>
      <c r="I24" s="11" t="s">
        <v>27</v>
      </c>
    </row>
    <row r="25" spans="1:9" x14ac:dyDescent="0.25">
      <c r="A25" s="7"/>
      <c r="B25" s="11"/>
      <c r="C25" s="11"/>
      <c r="D25" s="11"/>
      <c r="E25" s="11"/>
      <c r="F25" s="11"/>
      <c r="G25" s="11"/>
      <c r="H25" s="11"/>
      <c r="I25" s="11"/>
    </row>
    <row r="26" spans="1:9" x14ac:dyDescent="0.25">
      <c r="A26" s="7"/>
      <c r="B26" s="11" t="s">
        <v>11</v>
      </c>
      <c r="C26" s="11" t="s">
        <v>8</v>
      </c>
      <c r="D26" s="11" t="s">
        <v>9</v>
      </c>
      <c r="E26" s="11" t="s">
        <v>58</v>
      </c>
      <c r="F26" s="11" t="s">
        <v>321</v>
      </c>
      <c r="G26" s="11" t="s">
        <v>12</v>
      </c>
      <c r="H26" s="11" t="s">
        <v>13</v>
      </c>
      <c r="I26" s="11" t="s">
        <v>326</v>
      </c>
    </row>
    <row r="27" spans="1:9" x14ac:dyDescent="0.25">
      <c r="A27" s="7"/>
      <c r="B27" s="11" t="s">
        <v>11</v>
      </c>
      <c r="C27" s="11" t="s">
        <v>8</v>
      </c>
      <c r="D27" s="11" t="s">
        <v>9</v>
      </c>
      <c r="E27" s="11" t="s">
        <v>25</v>
      </c>
      <c r="F27" s="11" t="s">
        <v>59</v>
      </c>
      <c r="G27" s="11" t="s">
        <v>12</v>
      </c>
      <c r="H27" s="11" t="s">
        <v>60</v>
      </c>
      <c r="I27" s="11" t="s">
        <v>27</v>
      </c>
    </row>
    <row r="28" spans="1:9" x14ac:dyDescent="0.25">
      <c r="A28" s="7"/>
      <c r="B28" s="11" t="s">
        <v>11</v>
      </c>
      <c r="C28" s="11" t="s">
        <v>8</v>
      </c>
      <c r="D28" s="11" t="s">
        <v>19</v>
      </c>
      <c r="E28" s="11" t="s">
        <v>61</v>
      </c>
      <c r="F28" s="11" t="s">
        <v>62</v>
      </c>
      <c r="G28" s="11" t="s">
        <v>17</v>
      </c>
      <c r="H28" s="11" t="s">
        <v>13</v>
      </c>
      <c r="I28" s="11" t="s">
        <v>27</v>
      </c>
    </row>
    <row r="29" spans="1:9" x14ac:dyDescent="0.25">
      <c r="A29" s="7"/>
      <c r="B29" s="11" t="s">
        <v>11</v>
      </c>
      <c r="C29" s="11" t="s">
        <v>8</v>
      </c>
      <c r="D29" s="11" t="s">
        <v>24</v>
      </c>
      <c r="E29" s="11" t="s">
        <v>63</v>
      </c>
      <c r="F29" s="11" t="s">
        <v>64</v>
      </c>
      <c r="G29" s="11" t="s">
        <v>17</v>
      </c>
      <c r="H29" s="11" t="s">
        <v>13</v>
      </c>
      <c r="I29" s="11" t="s">
        <v>27</v>
      </c>
    </row>
    <row r="30" spans="1:9" x14ac:dyDescent="0.25">
      <c r="A30" s="7"/>
      <c r="B30" s="11" t="s">
        <v>11</v>
      </c>
      <c r="C30" s="11" t="s">
        <v>8</v>
      </c>
      <c r="D30" s="11" t="s">
        <v>9</v>
      </c>
      <c r="E30" s="11" t="s">
        <v>38</v>
      </c>
      <c r="F30" s="11" t="s">
        <v>65</v>
      </c>
      <c r="G30" s="11" t="s">
        <v>12</v>
      </c>
      <c r="H30" s="11" t="s">
        <v>13</v>
      </c>
      <c r="I30" s="11" t="s">
        <v>66</v>
      </c>
    </row>
    <row r="31" spans="1:9" x14ac:dyDescent="0.25">
      <c r="A31" s="7"/>
      <c r="B31" s="11" t="s">
        <v>11</v>
      </c>
      <c r="C31" s="11" t="s">
        <v>14</v>
      </c>
      <c r="D31" s="11" t="s">
        <v>9</v>
      </c>
      <c r="E31" s="11" t="s">
        <v>47</v>
      </c>
      <c r="F31" s="11" t="s">
        <v>67</v>
      </c>
      <c r="G31" s="11" t="s">
        <v>12</v>
      </c>
      <c r="H31" s="11" t="s">
        <v>13</v>
      </c>
      <c r="I31" s="11" t="s">
        <v>27</v>
      </c>
    </row>
    <row r="32" spans="1:9" x14ac:dyDescent="0.25">
      <c r="A32" s="7"/>
      <c r="B32" s="11" t="s">
        <v>11</v>
      </c>
      <c r="C32" s="11" t="s">
        <v>8</v>
      </c>
      <c r="D32" s="11" t="s">
        <v>9</v>
      </c>
      <c r="E32" s="11" t="s">
        <v>25</v>
      </c>
      <c r="F32" s="11" t="s">
        <v>68</v>
      </c>
      <c r="G32" s="11" t="s">
        <v>21</v>
      </c>
      <c r="H32" s="11" t="s">
        <v>37</v>
      </c>
      <c r="I32" s="11" t="s">
        <v>69</v>
      </c>
    </row>
    <row r="33" spans="1:9" x14ac:dyDescent="0.25">
      <c r="A33" s="7"/>
      <c r="B33" s="11"/>
      <c r="C33" s="11"/>
      <c r="D33" s="11"/>
      <c r="E33" s="11"/>
      <c r="F33" s="11"/>
      <c r="G33" s="11"/>
      <c r="H33" s="11"/>
      <c r="I33" s="11"/>
    </row>
    <row r="34" spans="1:9" x14ac:dyDescent="0.25">
      <c r="A34" s="7"/>
      <c r="B34" s="11" t="s">
        <v>11</v>
      </c>
      <c r="C34" s="11" t="s">
        <v>8</v>
      </c>
      <c r="D34" s="11" t="s">
        <v>9</v>
      </c>
      <c r="E34" s="11" t="s">
        <v>70</v>
      </c>
      <c r="F34" s="11" t="s">
        <v>71</v>
      </c>
      <c r="G34" s="11" t="s">
        <v>17</v>
      </c>
      <c r="H34" s="11" t="s">
        <v>13</v>
      </c>
      <c r="I34" s="11" t="s">
        <v>27</v>
      </c>
    </row>
    <row r="35" spans="1:9" x14ac:dyDescent="0.25">
      <c r="A35" s="7"/>
      <c r="B35" s="11" t="s">
        <v>11</v>
      </c>
      <c r="C35" s="11" t="s">
        <v>8</v>
      </c>
      <c r="D35" s="11" t="s">
        <v>9</v>
      </c>
      <c r="E35" s="11" t="s">
        <v>72</v>
      </c>
      <c r="F35" s="11" t="s">
        <v>73</v>
      </c>
      <c r="G35" s="11" t="s">
        <v>17</v>
      </c>
      <c r="H35" s="11" t="s">
        <v>13</v>
      </c>
      <c r="I35" s="11" t="s">
        <v>27</v>
      </c>
    </row>
    <row r="36" spans="1:9" x14ac:dyDescent="0.25">
      <c r="A36" s="7"/>
      <c r="B36" s="11"/>
      <c r="C36" s="11"/>
      <c r="D36" s="11"/>
      <c r="E36" s="11"/>
      <c r="F36" s="11"/>
      <c r="G36" s="11"/>
      <c r="H36" s="11"/>
      <c r="I36" s="11"/>
    </row>
    <row r="37" spans="1:9" x14ac:dyDescent="0.25">
      <c r="A37" s="7"/>
      <c r="B37" s="11" t="s">
        <v>11</v>
      </c>
      <c r="C37" s="11" t="s">
        <v>8</v>
      </c>
      <c r="D37" s="11" t="s">
        <v>9</v>
      </c>
      <c r="E37" s="11" t="s">
        <v>267</v>
      </c>
      <c r="F37" s="11" t="s">
        <v>268</v>
      </c>
      <c r="G37" s="11" t="s">
        <v>21</v>
      </c>
      <c r="H37" s="11" t="s">
        <v>13</v>
      </c>
      <c r="I37" s="11" t="s">
        <v>269</v>
      </c>
    </row>
    <row r="38" spans="1:9" x14ac:dyDescent="0.25">
      <c r="A38" s="7"/>
      <c r="B38" s="11" t="s">
        <v>11</v>
      </c>
      <c r="C38" s="11" t="s">
        <v>14</v>
      </c>
      <c r="D38" s="11" t="s">
        <v>28</v>
      </c>
      <c r="E38" s="11" t="s">
        <v>74</v>
      </c>
      <c r="F38" s="11" t="s">
        <v>75</v>
      </c>
      <c r="G38" s="11" t="s">
        <v>17</v>
      </c>
      <c r="H38" s="11" t="s">
        <v>13</v>
      </c>
      <c r="I38" s="11" t="s">
        <v>76</v>
      </c>
    </row>
    <row r="39" spans="1:9" x14ac:dyDescent="0.25">
      <c r="A39" s="7"/>
      <c r="B39" s="11" t="s">
        <v>11</v>
      </c>
      <c r="C39" s="11" t="s">
        <v>8</v>
      </c>
      <c r="D39" s="11" t="s">
        <v>9</v>
      </c>
      <c r="E39" s="11" t="s">
        <v>77</v>
      </c>
      <c r="F39" s="11" t="s">
        <v>78</v>
      </c>
      <c r="G39" s="11" t="s">
        <v>17</v>
      </c>
      <c r="H39" s="11" t="s">
        <v>13</v>
      </c>
      <c r="I39" s="11" t="s">
        <v>79</v>
      </c>
    </row>
    <row r="40" spans="1:9" x14ac:dyDescent="0.25">
      <c r="A40" s="7"/>
      <c r="B40" s="11" t="s">
        <v>11</v>
      </c>
      <c r="C40" s="11" t="s">
        <v>8</v>
      </c>
      <c r="D40" s="11" t="s">
        <v>9</v>
      </c>
      <c r="E40" s="11" t="s">
        <v>38</v>
      </c>
      <c r="F40" s="11" t="s">
        <v>80</v>
      </c>
      <c r="G40" s="11" t="s">
        <v>17</v>
      </c>
      <c r="H40" s="11" t="s">
        <v>13</v>
      </c>
      <c r="I40" s="11" t="s">
        <v>81</v>
      </c>
    </row>
    <row r="41" spans="1:9" x14ac:dyDescent="0.25">
      <c r="A41" s="7"/>
      <c r="B41" s="11" t="s">
        <v>11</v>
      </c>
      <c r="C41" s="11" t="s">
        <v>8</v>
      </c>
      <c r="D41" s="11" t="s">
        <v>28</v>
      </c>
      <c r="E41" s="11" t="s">
        <v>82</v>
      </c>
      <c r="F41" s="11" t="s">
        <v>83</v>
      </c>
      <c r="G41" s="11" t="s">
        <v>12</v>
      </c>
      <c r="H41" s="11" t="s">
        <v>13</v>
      </c>
      <c r="I41" s="11" t="s">
        <v>84</v>
      </c>
    </row>
    <row r="42" spans="1:9" x14ac:dyDescent="0.25">
      <c r="A42" s="7"/>
      <c r="B42" s="11" t="s">
        <v>11</v>
      </c>
      <c r="C42" s="11" t="s">
        <v>8</v>
      </c>
      <c r="D42" s="11" t="s">
        <v>28</v>
      </c>
      <c r="E42" s="11" t="s">
        <v>25</v>
      </c>
      <c r="F42" s="11" t="s">
        <v>85</v>
      </c>
      <c r="G42" s="11" t="s">
        <v>12</v>
      </c>
      <c r="H42" s="11" t="s">
        <v>13</v>
      </c>
      <c r="I42" s="11" t="s">
        <v>27</v>
      </c>
    </row>
    <row r="43" spans="1:9" x14ac:dyDescent="0.25">
      <c r="A43" s="7"/>
      <c r="B43" s="11" t="s">
        <v>11</v>
      </c>
      <c r="C43" s="11" t="s">
        <v>8</v>
      </c>
      <c r="D43" s="11" t="s">
        <v>24</v>
      </c>
      <c r="E43" s="11" t="s">
        <v>86</v>
      </c>
      <c r="F43" s="11" t="s">
        <v>87</v>
      </c>
      <c r="G43" s="11" t="s">
        <v>17</v>
      </c>
      <c r="H43" s="11" t="s">
        <v>13</v>
      </c>
      <c r="I43" s="11" t="s">
        <v>88</v>
      </c>
    </row>
    <row r="44" spans="1:9" x14ac:dyDescent="0.25">
      <c r="A44" s="7"/>
      <c r="B44" s="11" t="s">
        <v>11</v>
      </c>
      <c r="C44" s="11" t="s">
        <v>8</v>
      </c>
      <c r="D44" s="11" t="s">
        <v>28</v>
      </c>
      <c r="E44" s="11" t="s">
        <v>89</v>
      </c>
      <c r="F44" s="11" t="s">
        <v>90</v>
      </c>
      <c r="G44" s="11" t="s">
        <v>17</v>
      </c>
      <c r="H44" s="11" t="s">
        <v>13</v>
      </c>
      <c r="I44" s="11" t="s">
        <v>30</v>
      </c>
    </row>
    <row r="45" spans="1:9" x14ac:dyDescent="0.25">
      <c r="A45" s="7"/>
      <c r="B45" s="11" t="s">
        <v>11</v>
      </c>
      <c r="C45" s="11" t="s">
        <v>14</v>
      </c>
      <c r="D45" s="11" t="s">
        <v>9</v>
      </c>
      <c r="E45" s="11" t="s">
        <v>91</v>
      </c>
      <c r="F45" s="11" t="s">
        <v>92</v>
      </c>
      <c r="G45" s="11" t="s">
        <v>17</v>
      </c>
      <c r="H45" s="11" t="s">
        <v>22</v>
      </c>
      <c r="I45" s="11" t="s">
        <v>27</v>
      </c>
    </row>
    <row r="46" spans="1:9" x14ac:dyDescent="0.25">
      <c r="A46" s="7"/>
      <c r="B46" s="11" t="s">
        <v>11</v>
      </c>
      <c r="C46" s="11" t="s">
        <v>8</v>
      </c>
      <c r="D46" s="11" t="s">
        <v>9</v>
      </c>
      <c r="E46" s="11" t="s">
        <v>93</v>
      </c>
      <c r="F46" s="11" t="s">
        <v>94</v>
      </c>
      <c r="G46" s="11" t="s">
        <v>12</v>
      </c>
      <c r="H46" s="11" t="s">
        <v>13</v>
      </c>
      <c r="I46" s="11" t="s">
        <v>30</v>
      </c>
    </row>
    <row r="47" spans="1:9" x14ac:dyDescent="0.25">
      <c r="A47" s="7"/>
      <c r="B47" s="11" t="s">
        <v>11</v>
      </c>
      <c r="C47" s="11" t="s">
        <v>8</v>
      </c>
      <c r="D47" s="11" t="s">
        <v>9</v>
      </c>
      <c r="E47" s="11" t="s">
        <v>95</v>
      </c>
      <c r="F47" s="11" t="s">
        <v>96</v>
      </c>
      <c r="G47" s="11" t="s">
        <v>17</v>
      </c>
      <c r="H47" s="11" t="s">
        <v>22</v>
      </c>
      <c r="I47" s="11" t="s">
        <v>97</v>
      </c>
    </row>
    <row r="48" spans="1:9" x14ac:dyDescent="0.25">
      <c r="A48" s="7"/>
      <c r="B48" s="11" t="s">
        <v>11</v>
      </c>
      <c r="C48" s="11" t="s">
        <v>8</v>
      </c>
      <c r="D48" s="11" t="s">
        <v>19</v>
      </c>
      <c r="E48" s="11" t="s">
        <v>25</v>
      </c>
      <c r="F48" s="11" t="s">
        <v>98</v>
      </c>
      <c r="G48" s="11" t="s">
        <v>12</v>
      </c>
      <c r="H48" s="11" t="s">
        <v>13</v>
      </c>
      <c r="I48" s="11" t="s">
        <v>27</v>
      </c>
    </row>
    <row r="49" spans="1:9" x14ac:dyDescent="0.25">
      <c r="A49" s="7"/>
      <c r="B49" s="11" t="s">
        <v>11</v>
      </c>
      <c r="C49" s="11" t="s">
        <v>33</v>
      </c>
      <c r="D49" s="11" t="s">
        <v>9</v>
      </c>
      <c r="E49" s="11" t="s">
        <v>38</v>
      </c>
      <c r="F49" s="11" t="s">
        <v>99</v>
      </c>
      <c r="G49" s="11" t="s">
        <v>21</v>
      </c>
      <c r="H49" s="11" t="s">
        <v>37</v>
      </c>
      <c r="I49" s="11" t="s">
        <v>27</v>
      </c>
    </row>
    <row r="50" spans="1:9" x14ac:dyDescent="0.25">
      <c r="A50" s="7"/>
      <c r="B50" s="11" t="s">
        <v>11</v>
      </c>
      <c r="C50" s="11" t="s">
        <v>8</v>
      </c>
      <c r="D50" s="11" t="s">
        <v>9</v>
      </c>
      <c r="E50" s="11" t="s">
        <v>51</v>
      </c>
      <c r="F50" s="11" t="s">
        <v>100</v>
      </c>
      <c r="G50" s="11" t="s">
        <v>12</v>
      </c>
      <c r="H50" s="11" t="s">
        <v>13</v>
      </c>
      <c r="I50" s="11" t="s">
        <v>27</v>
      </c>
    </row>
    <row r="51" spans="1:9" x14ac:dyDescent="0.25">
      <c r="A51" s="7"/>
      <c r="B51" s="11" t="s">
        <v>11</v>
      </c>
      <c r="C51" s="11" t="s">
        <v>8</v>
      </c>
      <c r="D51" s="11" t="s">
        <v>9</v>
      </c>
      <c r="E51" s="11" t="s">
        <v>25</v>
      </c>
      <c r="F51" s="11" t="s">
        <v>327</v>
      </c>
      <c r="G51" s="11" t="s">
        <v>17</v>
      </c>
      <c r="H51" s="11" t="s">
        <v>13</v>
      </c>
      <c r="I51" s="11" t="s">
        <v>328</v>
      </c>
    </row>
    <row r="52" spans="1:9" x14ac:dyDescent="0.25">
      <c r="A52" s="7"/>
      <c r="B52" s="11" t="s">
        <v>11</v>
      </c>
      <c r="C52" s="11" t="s">
        <v>8</v>
      </c>
      <c r="D52" s="11" t="s">
        <v>9</v>
      </c>
      <c r="E52" s="11" t="s">
        <v>101</v>
      </c>
      <c r="F52" s="11" t="s">
        <v>102</v>
      </c>
      <c r="G52" s="11" t="s">
        <v>17</v>
      </c>
      <c r="H52" s="11" t="s">
        <v>13</v>
      </c>
      <c r="I52" s="11" t="s">
        <v>103</v>
      </c>
    </row>
    <row r="53" spans="1:9" x14ac:dyDescent="0.25">
      <c r="A53" s="7"/>
      <c r="B53" s="11" t="s">
        <v>11</v>
      </c>
      <c r="C53" s="11" t="s">
        <v>8</v>
      </c>
      <c r="D53" s="11" t="s">
        <v>28</v>
      </c>
      <c r="E53" s="11" t="s">
        <v>25</v>
      </c>
      <c r="F53" s="11" t="s">
        <v>104</v>
      </c>
      <c r="G53" s="11" t="s">
        <v>12</v>
      </c>
      <c r="H53" s="11" t="s">
        <v>13</v>
      </c>
      <c r="I53" s="11" t="s">
        <v>105</v>
      </c>
    </row>
    <row r="54" spans="1:9" x14ac:dyDescent="0.25">
      <c r="A54" s="7"/>
      <c r="B54" s="11" t="s">
        <v>11</v>
      </c>
      <c r="C54" s="11" t="s">
        <v>14</v>
      </c>
      <c r="D54" s="11" t="s">
        <v>9</v>
      </c>
      <c r="E54" s="11" t="s">
        <v>106</v>
      </c>
      <c r="F54" s="11" t="s">
        <v>107</v>
      </c>
      <c r="G54" s="11" t="s">
        <v>21</v>
      </c>
      <c r="H54" s="11" t="s">
        <v>13</v>
      </c>
      <c r="I54" s="11" t="s">
        <v>108</v>
      </c>
    </row>
    <row r="55" spans="1:9" x14ac:dyDescent="0.25">
      <c r="A55" s="7"/>
      <c r="B55" s="11" t="s">
        <v>11</v>
      </c>
      <c r="C55" s="11" t="s">
        <v>8</v>
      </c>
      <c r="D55" s="11" t="s">
        <v>9</v>
      </c>
      <c r="E55" s="11" t="s">
        <v>25</v>
      </c>
      <c r="F55" s="11" t="s">
        <v>109</v>
      </c>
      <c r="G55" s="11" t="s">
        <v>17</v>
      </c>
      <c r="H55" s="11" t="s">
        <v>13</v>
      </c>
      <c r="I55" s="11" t="s">
        <v>30</v>
      </c>
    </row>
    <row r="56" spans="1:9" x14ac:dyDescent="0.25">
      <c r="A56" s="7"/>
      <c r="B56" s="11" t="s">
        <v>11</v>
      </c>
      <c r="C56" s="11" t="s">
        <v>14</v>
      </c>
      <c r="D56" s="11" t="s">
        <v>9</v>
      </c>
      <c r="E56" s="11" t="s">
        <v>25</v>
      </c>
      <c r="F56" s="11" t="s">
        <v>110</v>
      </c>
      <c r="G56" s="11" t="s">
        <v>17</v>
      </c>
      <c r="H56" s="11" t="s">
        <v>13</v>
      </c>
      <c r="I56" s="11" t="s">
        <v>27</v>
      </c>
    </row>
    <row r="57" spans="1:9" x14ac:dyDescent="0.25">
      <c r="A57" s="7"/>
      <c r="B57" s="11" t="s">
        <v>11</v>
      </c>
      <c r="C57" s="11" t="s">
        <v>14</v>
      </c>
      <c r="D57" s="11" t="s">
        <v>9</v>
      </c>
      <c r="E57" s="11" t="s">
        <v>38</v>
      </c>
      <c r="F57" s="11" t="s">
        <v>96</v>
      </c>
      <c r="G57" s="11" t="s">
        <v>17</v>
      </c>
      <c r="H57" s="11" t="s">
        <v>13</v>
      </c>
      <c r="I57" s="11" t="s">
        <v>30</v>
      </c>
    </row>
    <row r="58" spans="1:9" x14ac:dyDescent="0.25">
      <c r="A58" s="7"/>
      <c r="B58" s="11" t="s">
        <v>11</v>
      </c>
      <c r="C58" s="11" t="s">
        <v>8</v>
      </c>
      <c r="D58" s="11" t="s">
        <v>19</v>
      </c>
      <c r="E58" s="11" t="s">
        <v>25</v>
      </c>
      <c r="F58" s="11" t="s">
        <v>111</v>
      </c>
      <c r="G58" s="11" t="s">
        <v>17</v>
      </c>
      <c r="H58" s="11" t="s">
        <v>13</v>
      </c>
      <c r="I58" s="11" t="s">
        <v>27</v>
      </c>
    </row>
    <row r="59" spans="1:9" x14ac:dyDescent="0.25">
      <c r="A59" s="7"/>
      <c r="B59" s="11" t="s">
        <v>11</v>
      </c>
      <c r="C59" s="11" t="s">
        <v>8</v>
      </c>
      <c r="D59" s="11" t="s">
        <v>9</v>
      </c>
      <c r="E59" s="11" t="s">
        <v>270</v>
      </c>
      <c r="F59" s="11" t="s">
        <v>329</v>
      </c>
      <c r="G59" s="11" t="s">
        <v>17</v>
      </c>
      <c r="H59" s="11" t="s">
        <v>13</v>
      </c>
      <c r="I59" s="11" t="s">
        <v>305</v>
      </c>
    </row>
    <row r="60" spans="1:9" x14ac:dyDescent="0.25">
      <c r="A60" s="7"/>
      <c r="B60" s="11" t="s">
        <v>11</v>
      </c>
      <c r="C60" s="11" t="s">
        <v>14</v>
      </c>
      <c r="D60" s="11" t="s">
        <v>9</v>
      </c>
      <c r="E60" s="11" t="s">
        <v>25</v>
      </c>
      <c r="F60" s="11" t="s">
        <v>271</v>
      </c>
      <c r="G60" s="11" t="s">
        <v>12</v>
      </c>
      <c r="H60" s="11" t="s">
        <v>13</v>
      </c>
      <c r="I60" s="11" t="s">
        <v>330</v>
      </c>
    </row>
    <row r="61" spans="1:9" x14ac:dyDescent="0.25">
      <c r="A61" s="7"/>
      <c r="B61" s="11" t="s">
        <v>11</v>
      </c>
      <c r="C61" s="11" t="s">
        <v>33</v>
      </c>
      <c r="D61" s="11" t="s">
        <v>9</v>
      </c>
      <c r="E61" s="11" t="s">
        <v>272</v>
      </c>
      <c r="F61" s="11" t="s">
        <v>273</v>
      </c>
      <c r="G61" s="11" t="s">
        <v>12</v>
      </c>
      <c r="H61" s="11" t="s">
        <v>13</v>
      </c>
      <c r="I61" s="11" t="s">
        <v>274</v>
      </c>
    </row>
    <row r="62" spans="1:9" x14ac:dyDescent="0.25">
      <c r="A62" s="7"/>
      <c r="B62" s="11" t="s">
        <v>11</v>
      </c>
      <c r="C62" s="11" t="s">
        <v>8</v>
      </c>
      <c r="D62" s="11" t="s">
        <v>9</v>
      </c>
      <c r="E62" s="11" t="s">
        <v>275</v>
      </c>
      <c r="F62" s="11" t="s">
        <v>276</v>
      </c>
      <c r="G62" s="11" t="s">
        <v>17</v>
      </c>
      <c r="H62" s="11" t="s">
        <v>13</v>
      </c>
      <c r="I62" s="11" t="s">
        <v>277</v>
      </c>
    </row>
    <row r="63" spans="1:9" x14ac:dyDescent="0.25">
      <c r="A63" s="7"/>
      <c r="B63" s="11" t="s">
        <v>11</v>
      </c>
      <c r="C63" s="11" t="s">
        <v>8</v>
      </c>
      <c r="D63" s="11" t="s">
        <v>278</v>
      </c>
      <c r="E63" s="11" t="s">
        <v>279</v>
      </c>
      <c r="F63" s="11" t="s">
        <v>280</v>
      </c>
      <c r="G63" s="11" t="s">
        <v>17</v>
      </c>
      <c r="H63" s="11" t="s">
        <v>281</v>
      </c>
      <c r="I63" s="11" t="s">
        <v>277</v>
      </c>
    </row>
    <row r="64" spans="1:9" x14ac:dyDescent="0.25">
      <c r="A64" s="7"/>
      <c r="B64" s="11" t="s">
        <v>11</v>
      </c>
      <c r="C64" s="11" t="s">
        <v>14</v>
      </c>
      <c r="D64" s="11" t="s">
        <v>19</v>
      </c>
      <c r="E64" s="11" t="s">
        <v>282</v>
      </c>
      <c r="F64" s="11" t="s">
        <v>283</v>
      </c>
      <c r="G64" s="11" t="s">
        <v>12</v>
      </c>
      <c r="H64" s="11" t="s">
        <v>37</v>
      </c>
      <c r="I64" s="11" t="s">
        <v>284</v>
      </c>
    </row>
    <row r="65" spans="1:9" x14ac:dyDescent="0.25">
      <c r="A65" s="7"/>
      <c r="B65" s="11" t="s">
        <v>11</v>
      </c>
      <c r="C65" s="11" t="s">
        <v>8</v>
      </c>
      <c r="D65" s="11" t="s">
        <v>278</v>
      </c>
      <c r="E65" s="11" t="s">
        <v>25</v>
      </c>
      <c r="F65" s="11" t="s">
        <v>285</v>
      </c>
      <c r="G65" s="11" t="s">
        <v>17</v>
      </c>
      <c r="H65" s="11" t="s">
        <v>37</v>
      </c>
      <c r="I65" s="11" t="s">
        <v>277</v>
      </c>
    </row>
    <row r="66" spans="1:9" x14ac:dyDescent="0.25">
      <c r="A66" s="7"/>
      <c r="B66" s="11" t="s">
        <v>11</v>
      </c>
      <c r="C66" s="11" t="s">
        <v>8</v>
      </c>
      <c r="D66" s="11" t="s">
        <v>9</v>
      </c>
      <c r="E66" s="11" t="s">
        <v>25</v>
      </c>
      <c r="F66" s="11" t="s">
        <v>286</v>
      </c>
      <c r="G66" s="11" t="s">
        <v>17</v>
      </c>
      <c r="H66" s="11" t="s">
        <v>13</v>
      </c>
      <c r="I66" s="11" t="s">
        <v>287</v>
      </c>
    </row>
    <row r="67" spans="1:9" x14ac:dyDescent="0.25">
      <c r="A67" s="7"/>
      <c r="B67" s="11" t="s">
        <v>11</v>
      </c>
      <c r="C67" s="11" t="s">
        <v>8</v>
      </c>
      <c r="D67" s="11" t="s">
        <v>9</v>
      </c>
      <c r="E67" s="11" t="s">
        <v>288</v>
      </c>
      <c r="F67" s="11" t="s">
        <v>289</v>
      </c>
      <c r="G67" s="11" t="s">
        <v>17</v>
      </c>
      <c r="H67" s="11" t="s">
        <v>37</v>
      </c>
      <c r="I67" s="11" t="s">
        <v>290</v>
      </c>
    </row>
    <row r="68" spans="1:9" x14ac:dyDescent="0.25">
      <c r="A68" s="7"/>
      <c r="B68" s="11" t="s">
        <v>11</v>
      </c>
      <c r="C68" s="11" t="s">
        <v>8</v>
      </c>
      <c r="D68" s="11" t="s">
        <v>9</v>
      </c>
      <c r="E68" s="11" t="s">
        <v>291</v>
      </c>
      <c r="F68" s="11" t="s">
        <v>292</v>
      </c>
      <c r="G68" s="11" t="s">
        <v>17</v>
      </c>
      <c r="H68" s="11" t="s">
        <v>37</v>
      </c>
      <c r="I68" s="11" t="s">
        <v>293</v>
      </c>
    </row>
    <row r="69" spans="1:9" x14ac:dyDescent="0.25">
      <c r="A69" s="7"/>
      <c r="B69" s="11" t="s">
        <v>11</v>
      </c>
      <c r="C69" s="11" t="s">
        <v>8</v>
      </c>
      <c r="D69" s="11" t="s">
        <v>9</v>
      </c>
      <c r="E69" s="11" t="s">
        <v>25</v>
      </c>
      <c r="F69" s="11" t="s">
        <v>294</v>
      </c>
      <c r="G69" s="11" t="s">
        <v>21</v>
      </c>
      <c r="H69" s="11" t="s">
        <v>13</v>
      </c>
      <c r="I69" s="11" t="s">
        <v>295</v>
      </c>
    </row>
    <row r="70" spans="1:9" x14ac:dyDescent="0.25">
      <c r="A70" s="7"/>
      <c r="B70" s="11" t="s">
        <v>11</v>
      </c>
      <c r="C70" s="11" t="s">
        <v>8</v>
      </c>
      <c r="D70" s="11" t="s">
        <v>28</v>
      </c>
      <c r="E70" s="11" t="s">
        <v>38</v>
      </c>
      <c r="F70" s="11" t="s">
        <v>296</v>
      </c>
      <c r="G70" s="11" t="s">
        <v>17</v>
      </c>
      <c r="H70" s="11" t="s">
        <v>60</v>
      </c>
      <c r="I70" s="11" t="s">
        <v>27</v>
      </c>
    </row>
    <row r="71" spans="1:9" x14ac:dyDescent="0.25">
      <c r="A71" s="7"/>
      <c r="B71" s="11" t="s">
        <v>11</v>
      </c>
      <c r="C71" s="11" t="s">
        <v>8</v>
      </c>
      <c r="D71" s="11" t="s">
        <v>24</v>
      </c>
      <c r="E71" s="11" t="s">
        <v>297</v>
      </c>
      <c r="F71" s="11" t="s">
        <v>298</v>
      </c>
      <c r="G71" s="11" t="s">
        <v>17</v>
      </c>
      <c r="H71" s="11" t="s">
        <v>13</v>
      </c>
      <c r="I71" s="11" t="s">
        <v>299</v>
      </c>
    </row>
    <row r="72" spans="1:9" x14ac:dyDescent="0.25">
      <c r="A72" s="7"/>
      <c r="B72" s="11" t="s">
        <v>11</v>
      </c>
      <c r="C72" s="11" t="s">
        <v>8</v>
      </c>
      <c r="D72" s="11" t="s">
        <v>9</v>
      </c>
      <c r="E72" s="11" t="s">
        <v>38</v>
      </c>
      <c r="F72" s="11" t="s">
        <v>300</v>
      </c>
      <c r="G72" s="11" t="s">
        <v>12</v>
      </c>
      <c r="H72" s="11" t="s">
        <v>13</v>
      </c>
      <c r="I72" s="11" t="s">
        <v>301</v>
      </c>
    </row>
    <row r="73" spans="1:9" x14ac:dyDescent="0.25">
      <c r="A73" s="7"/>
      <c r="B73" s="11" t="s">
        <v>11</v>
      </c>
      <c r="C73" s="11" t="s">
        <v>8</v>
      </c>
      <c r="D73" s="11" t="s">
        <v>24</v>
      </c>
      <c r="E73" s="11" t="s">
        <v>165</v>
      </c>
      <c r="F73" s="11" t="s">
        <v>302</v>
      </c>
      <c r="G73" s="11" t="s">
        <v>17</v>
      </c>
      <c r="H73" s="11" t="s">
        <v>13</v>
      </c>
      <c r="I73" s="11" t="s">
        <v>30</v>
      </c>
    </row>
    <row r="74" spans="1:9" x14ac:dyDescent="0.25">
      <c r="A74" s="7"/>
      <c r="B74" s="11" t="s">
        <v>11</v>
      </c>
      <c r="C74" s="11" t="s">
        <v>8</v>
      </c>
      <c r="D74" s="11" t="s">
        <v>9</v>
      </c>
      <c r="E74" s="11" t="s">
        <v>303</v>
      </c>
      <c r="F74" s="11" t="s">
        <v>304</v>
      </c>
      <c r="G74" s="11" t="s">
        <v>17</v>
      </c>
      <c r="H74" s="11" t="s">
        <v>31</v>
      </c>
      <c r="I74" s="11" t="s">
        <v>305</v>
      </c>
    </row>
    <row r="75" spans="1:9" x14ac:dyDescent="0.25">
      <c r="A75" s="7"/>
      <c r="B75" s="11" t="s">
        <v>11</v>
      </c>
      <c r="C75" s="11" t="s">
        <v>8</v>
      </c>
      <c r="D75" s="11" t="s">
        <v>19</v>
      </c>
      <c r="E75" s="11" t="s">
        <v>25</v>
      </c>
      <c r="F75" s="11" t="s">
        <v>306</v>
      </c>
      <c r="G75" s="11" t="s">
        <v>12</v>
      </c>
      <c r="H75" s="11" t="s">
        <v>13</v>
      </c>
      <c r="I75" s="11" t="s">
        <v>27</v>
      </c>
    </row>
    <row r="76" spans="1:9" x14ac:dyDescent="0.25">
      <c r="A76" s="7"/>
      <c r="B76" s="11" t="s">
        <v>11</v>
      </c>
      <c r="C76" s="11" t="s">
        <v>278</v>
      </c>
      <c r="D76" s="11" t="s">
        <v>278</v>
      </c>
      <c r="E76" s="11" t="s">
        <v>47</v>
      </c>
      <c r="F76" s="11" t="s">
        <v>307</v>
      </c>
      <c r="G76" s="11" t="s">
        <v>17</v>
      </c>
      <c r="H76" s="11" t="s">
        <v>13</v>
      </c>
      <c r="I76" s="11" t="s">
        <v>27</v>
      </c>
    </row>
    <row r="77" spans="1:9" x14ac:dyDescent="0.25">
      <c r="A77" s="7"/>
      <c r="B77" s="11" t="s">
        <v>11</v>
      </c>
      <c r="C77" s="11" t="s">
        <v>8</v>
      </c>
      <c r="D77" s="11" t="s">
        <v>9</v>
      </c>
      <c r="E77" s="11" t="s">
        <v>25</v>
      </c>
      <c r="F77" s="11" t="s">
        <v>308</v>
      </c>
      <c r="G77" s="11" t="s">
        <v>17</v>
      </c>
      <c r="H77" s="11" t="s">
        <v>13</v>
      </c>
      <c r="I77" s="11" t="s">
        <v>309</v>
      </c>
    </row>
    <row r="78" spans="1:9" x14ac:dyDescent="0.25">
      <c r="A78" s="7"/>
      <c r="B78" s="11" t="s">
        <v>11</v>
      </c>
      <c r="C78" s="11" t="s">
        <v>8</v>
      </c>
      <c r="D78" s="11" t="s">
        <v>9</v>
      </c>
      <c r="E78" s="11" t="s">
        <v>310</v>
      </c>
      <c r="F78" s="11" t="s">
        <v>311</v>
      </c>
      <c r="G78" s="11" t="s">
        <v>17</v>
      </c>
      <c r="H78" s="11" t="s">
        <v>13</v>
      </c>
      <c r="I78" s="11" t="s">
        <v>27</v>
      </c>
    </row>
    <row r="79" spans="1:9" x14ac:dyDescent="0.25">
      <c r="A79" s="7"/>
      <c r="B79" s="11" t="s">
        <v>11</v>
      </c>
      <c r="C79" s="11" t="s">
        <v>8</v>
      </c>
      <c r="D79" s="11" t="s">
        <v>9</v>
      </c>
      <c r="E79" s="11" t="s">
        <v>312</v>
      </c>
      <c r="F79" s="11" t="s">
        <v>313</v>
      </c>
      <c r="G79" s="11" t="s">
        <v>17</v>
      </c>
      <c r="H79" s="11" t="s">
        <v>37</v>
      </c>
      <c r="I79" s="11" t="s">
        <v>314</v>
      </c>
    </row>
    <row r="80" spans="1:9" x14ac:dyDescent="0.25">
      <c r="A80" s="7"/>
      <c r="B80" s="11"/>
      <c r="C80" s="11"/>
      <c r="D80" s="11"/>
      <c r="E80" s="11"/>
      <c r="F80" s="11"/>
      <c r="G80" s="11"/>
      <c r="H80" s="11"/>
      <c r="I80" s="11"/>
    </row>
    <row r="81" spans="1:9" x14ac:dyDescent="0.25">
      <c r="A81" s="7"/>
      <c r="B81" s="11" t="s">
        <v>11</v>
      </c>
      <c r="C81" s="11" t="s">
        <v>8</v>
      </c>
      <c r="D81" s="11" t="s">
        <v>28</v>
      </c>
      <c r="E81" s="11" t="s">
        <v>189</v>
      </c>
      <c r="F81" s="11" t="s">
        <v>315</v>
      </c>
      <c r="G81" s="11" t="s">
        <v>17</v>
      </c>
      <c r="H81" s="11" t="s">
        <v>13</v>
      </c>
      <c r="I81" s="11" t="s">
        <v>27</v>
      </c>
    </row>
    <row r="82" spans="1:9" x14ac:dyDescent="0.25">
      <c r="A82" s="7"/>
      <c r="B82" s="11"/>
      <c r="C82" s="11"/>
      <c r="D82" s="11"/>
      <c r="E82" s="11"/>
      <c r="F82" s="11"/>
      <c r="G82" s="11"/>
      <c r="H82" s="11"/>
      <c r="I82" s="11"/>
    </row>
    <row r="83" spans="1:9" x14ac:dyDescent="0.25">
      <c r="A83" s="7"/>
      <c r="B83" s="11" t="s">
        <v>11</v>
      </c>
      <c r="C83" s="11" t="s">
        <v>8</v>
      </c>
      <c r="D83" s="11" t="s">
        <v>9</v>
      </c>
      <c r="E83" s="11" t="s">
        <v>316</v>
      </c>
      <c r="F83" s="11" t="s">
        <v>317</v>
      </c>
      <c r="G83" s="11" t="s">
        <v>12</v>
      </c>
      <c r="H83" s="11" t="s">
        <v>13</v>
      </c>
      <c r="I83" s="11" t="s">
        <v>27</v>
      </c>
    </row>
    <row r="84" spans="1:9" x14ac:dyDescent="0.25">
      <c r="A84" s="7"/>
      <c r="B84" s="11" t="s">
        <v>11</v>
      </c>
      <c r="C84" s="11" t="s">
        <v>8</v>
      </c>
      <c r="D84" s="11" t="s">
        <v>19</v>
      </c>
      <c r="E84" s="11" t="s">
        <v>318</v>
      </c>
      <c r="F84" s="11" t="s">
        <v>319</v>
      </c>
      <c r="G84" s="11" t="s">
        <v>17</v>
      </c>
      <c r="H84" s="11" t="s">
        <v>13</v>
      </c>
      <c r="I84" s="11" t="s">
        <v>320</v>
      </c>
    </row>
    <row r="85" spans="1:9" x14ac:dyDescent="0.25">
      <c r="A85" s="12"/>
      <c r="B85" s="11" t="s">
        <v>11</v>
      </c>
      <c r="C85" s="11" t="s">
        <v>8</v>
      </c>
      <c r="D85" s="11" t="s">
        <v>331</v>
      </c>
      <c r="E85" s="11" t="s">
        <v>25</v>
      </c>
      <c r="F85" s="11" t="s">
        <v>332</v>
      </c>
      <c r="G85" s="11" t="s">
        <v>17</v>
      </c>
      <c r="H85" s="11" t="s">
        <v>13</v>
      </c>
      <c r="I85" s="11" t="s">
        <v>333</v>
      </c>
    </row>
    <row r="86" spans="1:9" x14ac:dyDescent="0.25">
      <c r="A86" s="12"/>
      <c r="B86" s="11" t="s">
        <v>11</v>
      </c>
      <c r="C86" s="11" t="s">
        <v>14</v>
      </c>
      <c r="D86" s="11" t="s">
        <v>9</v>
      </c>
      <c r="E86" s="11" t="s">
        <v>334</v>
      </c>
      <c r="F86" s="11" t="s">
        <v>335</v>
      </c>
      <c r="G86" s="11" t="s">
        <v>17</v>
      </c>
      <c r="H86" s="11" t="s">
        <v>37</v>
      </c>
      <c r="I86" s="11" t="s">
        <v>336</v>
      </c>
    </row>
    <row r="87" spans="1:9" x14ac:dyDescent="0.25">
      <c r="A87" s="12"/>
      <c r="B87" s="11" t="s">
        <v>11</v>
      </c>
      <c r="C87" s="11" t="s">
        <v>8</v>
      </c>
      <c r="D87" s="11" t="s">
        <v>28</v>
      </c>
      <c r="E87" s="11" t="s">
        <v>38</v>
      </c>
      <c r="F87" s="11" t="s">
        <v>337</v>
      </c>
      <c r="G87" s="11" t="s">
        <v>17</v>
      </c>
      <c r="H87" s="11" t="s">
        <v>13</v>
      </c>
      <c r="I87" s="11" t="s">
        <v>338</v>
      </c>
    </row>
    <row r="88" spans="1:9" x14ac:dyDescent="0.25">
      <c r="A88" s="12"/>
      <c r="B88" s="11" t="s">
        <v>11</v>
      </c>
      <c r="C88" s="11" t="s">
        <v>8</v>
      </c>
      <c r="D88" s="11" t="s">
        <v>9</v>
      </c>
      <c r="E88" s="11" t="s">
        <v>25</v>
      </c>
      <c r="F88" s="11" t="s">
        <v>339</v>
      </c>
      <c r="G88" s="11" t="s">
        <v>17</v>
      </c>
      <c r="H88" s="11" t="s">
        <v>13</v>
      </c>
      <c r="I88" s="11" t="s">
        <v>340</v>
      </c>
    </row>
    <row r="89" spans="1:9" x14ac:dyDescent="0.25">
      <c r="A89" s="12"/>
      <c r="B89" s="11" t="s">
        <v>11</v>
      </c>
      <c r="C89" s="11" t="s">
        <v>8</v>
      </c>
      <c r="D89" s="11" t="s">
        <v>278</v>
      </c>
      <c r="E89" s="11" t="s">
        <v>341</v>
      </c>
      <c r="F89" s="11" t="s">
        <v>342</v>
      </c>
      <c r="G89" s="11" t="s">
        <v>17</v>
      </c>
      <c r="H89" s="11" t="s">
        <v>13</v>
      </c>
      <c r="I89" s="11" t="s">
        <v>343</v>
      </c>
    </row>
    <row r="90" spans="1:9" x14ac:dyDescent="0.25">
      <c r="A90" s="12"/>
      <c r="B90" s="11" t="s">
        <v>11</v>
      </c>
      <c r="C90" s="11" t="s">
        <v>278</v>
      </c>
      <c r="D90" s="11" t="s">
        <v>278</v>
      </c>
      <c r="E90" s="11" t="s">
        <v>25</v>
      </c>
      <c r="F90" s="11" t="s">
        <v>265</v>
      </c>
      <c r="G90" s="11" t="s">
        <v>12</v>
      </c>
      <c r="H90" s="11" t="s">
        <v>13</v>
      </c>
      <c r="I90" s="11" t="s">
        <v>344</v>
      </c>
    </row>
    <row r="91" spans="1:9" x14ac:dyDescent="0.25">
      <c r="A91" s="12"/>
      <c r="B91" s="11" t="s">
        <v>11</v>
      </c>
      <c r="C91" s="11" t="s">
        <v>8</v>
      </c>
      <c r="D91" s="11" t="s">
        <v>9</v>
      </c>
      <c r="E91" s="11" t="s">
        <v>25</v>
      </c>
      <c r="F91" s="11" t="s">
        <v>345</v>
      </c>
      <c r="G91" s="11" t="s">
        <v>17</v>
      </c>
      <c r="H91" s="11" t="s">
        <v>13</v>
      </c>
      <c r="I91" s="11" t="s">
        <v>346</v>
      </c>
    </row>
    <row r="92" spans="1:9" x14ac:dyDescent="0.25">
      <c r="A92" s="12"/>
      <c r="B92" s="11"/>
      <c r="C92" s="11"/>
      <c r="D92" s="11"/>
      <c r="E92" s="11"/>
      <c r="F92" s="11"/>
      <c r="G92" s="11"/>
      <c r="H92" s="11"/>
      <c r="I92" s="11"/>
    </row>
    <row r="93" spans="1:9" x14ac:dyDescent="0.25">
      <c r="A93" s="12"/>
      <c r="B93" s="11"/>
      <c r="C93" s="11"/>
      <c r="D93" s="11"/>
      <c r="E93" s="11"/>
      <c r="F93" s="11"/>
      <c r="G93" s="11"/>
      <c r="H93" s="11"/>
      <c r="I93" s="11"/>
    </row>
    <row r="94" spans="1:9" x14ac:dyDescent="0.25">
      <c r="A94" s="12"/>
      <c r="B94" s="11"/>
      <c r="C94" s="11"/>
      <c r="D94" s="11"/>
      <c r="E94" s="11"/>
      <c r="F94" s="11"/>
      <c r="G94" s="11"/>
      <c r="H94" s="11"/>
      <c r="I94" s="11"/>
    </row>
    <row r="95" spans="1:9" x14ac:dyDescent="0.25">
      <c r="A95" s="12"/>
      <c r="B95" s="11" t="s">
        <v>349</v>
      </c>
      <c r="C95" s="11" t="s">
        <v>8</v>
      </c>
      <c r="D95" s="11" t="s">
        <v>9</v>
      </c>
      <c r="E95" s="11" t="s">
        <v>38</v>
      </c>
      <c r="F95" s="11" t="s">
        <v>350</v>
      </c>
      <c r="G95" s="11" t="s">
        <v>17</v>
      </c>
      <c r="H95" s="11" t="s">
        <v>13</v>
      </c>
      <c r="I95" s="11" t="s">
        <v>351</v>
      </c>
    </row>
    <row r="96" spans="1:9" x14ac:dyDescent="0.25">
      <c r="A96" s="12"/>
      <c r="B96" s="11" t="s">
        <v>349</v>
      </c>
      <c r="C96" s="11" t="s">
        <v>14</v>
      </c>
      <c r="D96" s="11" t="s">
        <v>9</v>
      </c>
      <c r="E96" s="11" t="s">
        <v>25</v>
      </c>
      <c r="F96" s="11" t="s">
        <v>352</v>
      </c>
      <c r="G96" s="11" t="s">
        <v>17</v>
      </c>
      <c r="H96" s="11" t="s">
        <v>13</v>
      </c>
      <c r="I96" s="11" t="s">
        <v>353</v>
      </c>
    </row>
    <row r="97" spans="1:9" x14ac:dyDescent="0.25">
      <c r="A97" s="12"/>
      <c r="B97" s="11"/>
      <c r="C97" s="11"/>
      <c r="D97" s="11"/>
      <c r="E97" s="11"/>
      <c r="F97" s="11"/>
      <c r="G97" s="11"/>
      <c r="H97" s="11"/>
      <c r="I97" s="11"/>
    </row>
    <row r="98" spans="1:9" x14ac:dyDescent="0.25">
      <c r="A98" s="12"/>
      <c r="B98" s="11"/>
      <c r="C98" s="11"/>
      <c r="D98" s="11"/>
      <c r="E98" s="11"/>
      <c r="F98" s="11"/>
      <c r="G98" s="11"/>
      <c r="H98" s="11"/>
      <c r="I98" s="11"/>
    </row>
    <row r="99" spans="1:9" x14ac:dyDescent="0.25">
      <c r="A99" s="12"/>
      <c r="B99" s="11"/>
      <c r="C99" s="11"/>
      <c r="D99" s="11"/>
      <c r="E99" s="11"/>
      <c r="F99" s="11"/>
      <c r="G99" s="11"/>
      <c r="H99" s="11"/>
      <c r="I99" s="11"/>
    </row>
    <row r="100" spans="1:9" x14ac:dyDescent="0.25">
      <c r="A100" s="12"/>
      <c r="B100" s="11"/>
      <c r="C100" s="11"/>
      <c r="D100" s="11"/>
      <c r="E100" s="11"/>
      <c r="F100" s="11"/>
      <c r="G100" s="11"/>
      <c r="H100" s="11"/>
      <c r="I100" s="11"/>
    </row>
    <row r="101" spans="1:9" x14ac:dyDescent="0.25">
      <c r="A101" s="12"/>
      <c r="B101" s="11" t="s">
        <v>349</v>
      </c>
      <c r="C101" s="11" t="s">
        <v>8</v>
      </c>
      <c r="D101" s="11" t="s">
        <v>348</v>
      </c>
      <c r="E101" s="11" t="s">
        <v>25</v>
      </c>
      <c r="F101" s="11" t="s">
        <v>355</v>
      </c>
      <c r="G101" s="11" t="s">
        <v>17</v>
      </c>
      <c r="H101" s="11" t="s">
        <v>13</v>
      </c>
      <c r="I101" s="11" t="s">
        <v>356</v>
      </c>
    </row>
    <row r="102" spans="1:9" x14ac:dyDescent="0.25">
      <c r="A102" s="12"/>
      <c r="B102" s="11" t="s">
        <v>33</v>
      </c>
      <c r="C102" s="11" t="s">
        <v>8</v>
      </c>
      <c r="D102" s="11" t="s">
        <v>9</v>
      </c>
      <c r="E102" s="11" t="s">
        <v>25</v>
      </c>
      <c r="F102" s="11" t="s">
        <v>357</v>
      </c>
      <c r="G102" s="11" t="s">
        <v>17</v>
      </c>
      <c r="H102" s="11" t="s">
        <v>13</v>
      </c>
      <c r="I102" s="11" t="s">
        <v>27</v>
      </c>
    </row>
    <row r="103" spans="1:9" x14ac:dyDescent="0.25">
      <c r="A103" s="12"/>
      <c r="B103" s="11" t="s">
        <v>347</v>
      </c>
      <c r="C103" s="11" t="s">
        <v>14</v>
      </c>
      <c r="D103" s="11" t="s">
        <v>24</v>
      </c>
      <c r="E103" s="11" t="s">
        <v>25</v>
      </c>
      <c r="F103" s="11" t="s">
        <v>358</v>
      </c>
      <c r="G103" s="11" t="s">
        <v>17</v>
      </c>
      <c r="H103" s="11" t="s">
        <v>13</v>
      </c>
      <c r="I103" s="11" t="s">
        <v>27</v>
      </c>
    </row>
    <row r="104" spans="1:9" x14ac:dyDescent="0.25">
      <c r="A104" s="12"/>
      <c r="B104" s="11" t="s">
        <v>349</v>
      </c>
      <c r="C104" s="11" t="s">
        <v>8</v>
      </c>
      <c r="D104" s="11" t="s">
        <v>9</v>
      </c>
      <c r="E104" s="11" t="s">
        <v>354</v>
      </c>
      <c r="F104" s="11" t="s">
        <v>359</v>
      </c>
      <c r="G104" s="11" t="s">
        <v>17</v>
      </c>
      <c r="H104" s="11" t="s">
        <v>13</v>
      </c>
      <c r="I104" s="11" t="s">
        <v>27</v>
      </c>
    </row>
    <row r="105" spans="1:9" x14ac:dyDescent="0.25">
      <c r="A105" s="12"/>
      <c r="B105" s="11" t="s">
        <v>349</v>
      </c>
      <c r="C105" s="11" t="s">
        <v>8</v>
      </c>
      <c r="D105" s="11" t="s">
        <v>278</v>
      </c>
      <c r="E105" s="11" t="s">
        <v>25</v>
      </c>
      <c r="F105" s="11" t="s">
        <v>360</v>
      </c>
      <c r="G105" s="11" t="s">
        <v>12</v>
      </c>
      <c r="H105" s="11" t="s">
        <v>60</v>
      </c>
      <c r="I105" s="11" t="s">
        <v>305</v>
      </c>
    </row>
    <row r="106" spans="1:9" x14ac:dyDescent="0.25">
      <c r="A106" s="12"/>
      <c r="B106" s="11" t="s">
        <v>349</v>
      </c>
      <c r="C106" s="11" t="s">
        <v>8</v>
      </c>
      <c r="D106" s="11" t="s">
        <v>278</v>
      </c>
      <c r="E106" s="11" t="s">
        <v>361</v>
      </c>
      <c r="F106" s="11" t="s">
        <v>362</v>
      </c>
      <c r="G106" s="11" t="s">
        <v>17</v>
      </c>
      <c r="H106" s="11" t="s">
        <v>13</v>
      </c>
      <c r="I106" s="11" t="s">
        <v>363</v>
      </c>
    </row>
    <row r="107" spans="1:9" x14ac:dyDescent="0.25">
      <c r="A107" s="12"/>
      <c r="B107" s="11" t="s">
        <v>349</v>
      </c>
      <c r="C107" s="11" t="s">
        <v>8</v>
      </c>
      <c r="D107" s="11" t="s">
        <v>28</v>
      </c>
      <c r="E107" s="11" t="s">
        <v>25</v>
      </c>
      <c r="F107" s="11" t="s">
        <v>364</v>
      </c>
      <c r="G107" s="11" t="s">
        <v>12</v>
      </c>
      <c r="H107" s="11" t="s">
        <v>13</v>
      </c>
      <c r="I107" s="11" t="s">
        <v>365</v>
      </c>
    </row>
    <row r="108" spans="1:9" x14ac:dyDescent="0.25">
      <c r="A108" s="12"/>
      <c r="B108" s="11" t="s">
        <v>349</v>
      </c>
      <c r="C108" s="11" t="s">
        <v>14</v>
      </c>
      <c r="D108" s="11" t="s">
        <v>28</v>
      </c>
      <c r="E108" s="11" t="s">
        <v>366</v>
      </c>
      <c r="F108" s="11" t="s">
        <v>367</v>
      </c>
      <c r="G108" s="11" t="s">
        <v>21</v>
      </c>
      <c r="H108" s="11" t="s">
        <v>13</v>
      </c>
      <c r="I108" s="11" t="s">
        <v>368</v>
      </c>
    </row>
    <row r="109" spans="1:9" x14ac:dyDescent="0.25">
      <c r="A109" s="12"/>
      <c r="B109" s="11" t="s">
        <v>349</v>
      </c>
      <c r="C109" s="11" t="s">
        <v>8</v>
      </c>
      <c r="D109" s="11" t="s">
        <v>369</v>
      </c>
      <c r="E109" s="11" t="s">
        <v>51</v>
      </c>
      <c r="F109" s="11" t="s">
        <v>370</v>
      </c>
      <c r="G109" s="11" t="s">
        <v>17</v>
      </c>
      <c r="H109" s="11" t="s">
        <v>13</v>
      </c>
      <c r="I109" s="11" t="s">
        <v>27</v>
      </c>
    </row>
    <row r="110" spans="1:9" x14ac:dyDescent="0.25">
      <c r="A110" s="12"/>
      <c r="B110" s="11" t="s">
        <v>349</v>
      </c>
      <c r="C110" s="11" t="s">
        <v>14</v>
      </c>
      <c r="D110" s="11" t="s">
        <v>9</v>
      </c>
      <c r="E110" s="11" t="s">
        <v>25</v>
      </c>
      <c r="F110" s="11" t="s">
        <v>371</v>
      </c>
      <c r="G110" s="11" t="s">
        <v>12</v>
      </c>
      <c r="H110" s="11" t="s">
        <v>13</v>
      </c>
      <c r="I110" s="11" t="s">
        <v>27</v>
      </c>
    </row>
    <row r="111" spans="1:9" x14ac:dyDescent="0.25">
      <c r="A111" s="12"/>
      <c r="B111" s="11" t="s">
        <v>349</v>
      </c>
      <c r="C111" s="11" t="s">
        <v>14</v>
      </c>
      <c r="D111" s="11" t="s">
        <v>9</v>
      </c>
      <c r="E111" s="11" t="s">
        <v>25</v>
      </c>
      <c r="F111" s="11" t="s">
        <v>252</v>
      </c>
      <c r="G111" s="11" t="s">
        <v>12</v>
      </c>
      <c r="H111" s="11" t="s">
        <v>37</v>
      </c>
      <c r="I111" s="11" t="s">
        <v>363</v>
      </c>
    </row>
    <row r="112" spans="1:9" x14ac:dyDescent="0.25">
      <c r="A112" s="12"/>
      <c r="B112" s="11" t="s">
        <v>349</v>
      </c>
      <c r="C112" s="11" t="s">
        <v>8</v>
      </c>
      <c r="D112" s="11" t="s">
        <v>9</v>
      </c>
      <c r="E112" s="11" t="s">
        <v>25</v>
      </c>
      <c r="F112" s="11" t="s">
        <v>372</v>
      </c>
      <c r="G112" s="11" t="s">
        <v>12</v>
      </c>
      <c r="H112" s="11" t="s">
        <v>22</v>
      </c>
      <c r="I112" s="11" t="s">
        <v>373</v>
      </c>
    </row>
    <row r="113" spans="1:9" x14ac:dyDescent="0.25">
      <c r="A113" s="12"/>
      <c r="B113" s="11"/>
      <c r="C113" s="11"/>
      <c r="D113" s="11"/>
      <c r="E113" s="11"/>
      <c r="F113" s="11"/>
      <c r="G113" s="11"/>
      <c r="H113" s="11"/>
      <c r="I113" s="11"/>
    </row>
    <row r="114" spans="1:9" x14ac:dyDescent="0.25">
      <c r="A114" s="12"/>
      <c r="B114" s="11"/>
      <c r="C114" s="11"/>
      <c r="D114" s="11"/>
      <c r="E114" s="11"/>
      <c r="F114" s="11"/>
      <c r="G114" s="11"/>
      <c r="H114" s="11"/>
      <c r="I114" s="11"/>
    </row>
    <row r="115" spans="1:9" x14ac:dyDescent="0.25">
      <c r="A115" s="12"/>
      <c r="B115" s="11" t="s">
        <v>349</v>
      </c>
      <c r="C115" s="11" t="s">
        <v>8</v>
      </c>
      <c r="D115" s="11" t="s">
        <v>19</v>
      </c>
      <c r="E115" s="11" t="s">
        <v>374</v>
      </c>
      <c r="F115" s="11" t="s">
        <v>375</v>
      </c>
      <c r="G115" s="11" t="s">
        <v>17</v>
      </c>
      <c r="H115" s="11" t="s">
        <v>13</v>
      </c>
      <c r="I115" s="11" t="s">
        <v>376</v>
      </c>
    </row>
    <row r="116" spans="1:9" x14ac:dyDescent="0.25">
      <c r="A116" s="12"/>
      <c r="B116" s="11" t="s">
        <v>349</v>
      </c>
      <c r="C116" s="11" t="s">
        <v>8</v>
      </c>
      <c r="D116" s="11" t="s">
        <v>9</v>
      </c>
      <c r="E116" s="11" t="s">
        <v>159</v>
      </c>
      <c r="F116" s="11" t="s">
        <v>377</v>
      </c>
      <c r="G116" s="11" t="s">
        <v>17</v>
      </c>
      <c r="H116" s="11" t="s">
        <v>13</v>
      </c>
      <c r="I116" s="11" t="s">
        <v>378</v>
      </c>
    </row>
    <row r="117" spans="1:9" x14ac:dyDescent="0.25">
      <c r="A117" s="12"/>
      <c r="B117" s="11" t="s">
        <v>349</v>
      </c>
      <c r="C117" s="11" t="s">
        <v>8</v>
      </c>
      <c r="D117" s="11" t="s">
        <v>9</v>
      </c>
      <c r="E117" s="11" t="s">
        <v>354</v>
      </c>
      <c r="F117" s="11" t="s">
        <v>379</v>
      </c>
      <c r="G117" s="11" t="s">
        <v>17</v>
      </c>
      <c r="H117" s="11" t="s">
        <v>13</v>
      </c>
      <c r="I117" s="11" t="s">
        <v>27</v>
      </c>
    </row>
    <row r="118" spans="1:9" x14ac:dyDescent="0.25">
      <c r="A118" s="12"/>
      <c r="B118" s="11" t="s">
        <v>349</v>
      </c>
      <c r="C118" s="11" t="s">
        <v>278</v>
      </c>
      <c r="D118" s="11" t="s">
        <v>278</v>
      </c>
      <c r="E118" s="11" t="s">
        <v>25</v>
      </c>
      <c r="F118" s="11" t="s">
        <v>380</v>
      </c>
      <c r="G118" s="11" t="s">
        <v>17</v>
      </c>
      <c r="H118" s="11" t="s">
        <v>13</v>
      </c>
      <c r="I118" s="11" t="s">
        <v>27</v>
      </c>
    </row>
    <row r="119" spans="1:9" x14ac:dyDescent="0.25">
      <c r="A119" s="12"/>
      <c r="B119" s="11" t="s">
        <v>33</v>
      </c>
      <c r="C119" s="11" t="s">
        <v>8</v>
      </c>
      <c r="D119" s="11" t="s">
        <v>9</v>
      </c>
      <c r="E119" s="11" t="s">
        <v>381</v>
      </c>
      <c r="F119" s="11" t="s">
        <v>382</v>
      </c>
      <c r="G119" s="11" t="s">
        <v>17</v>
      </c>
      <c r="H119" s="11" t="s">
        <v>13</v>
      </c>
      <c r="I119" s="11" t="s">
        <v>383</v>
      </c>
    </row>
    <row r="120" spans="1:9" x14ac:dyDescent="0.25">
      <c r="A120" s="12"/>
      <c r="B120" s="11" t="s">
        <v>349</v>
      </c>
      <c r="C120" s="11" t="s">
        <v>278</v>
      </c>
      <c r="D120" s="11" t="s">
        <v>278</v>
      </c>
      <c r="E120" s="11" t="s">
        <v>384</v>
      </c>
      <c r="F120" s="11" t="s">
        <v>385</v>
      </c>
      <c r="G120" s="11" t="s">
        <v>17</v>
      </c>
      <c r="H120" s="11" t="s">
        <v>31</v>
      </c>
      <c r="I120" s="11" t="s">
        <v>27</v>
      </c>
    </row>
    <row r="121" spans="1:9" x14ac:dyDescent="0.25">
      <c r="A121" s="12"/>
      <c r="B121" s="11" t="s">
        <v>349</v>
      </c>
      <c r="C121" s="11" t="s">
        <v>8</v>
      </c>
      <c r="D121" s="11" t="s">
        <v>278</v>
      </c>
      <c r="E121" s="11" t="s">
        <v>198</v>
      </c>
      <c r="F121" s="11" t="s">
        <v>386</v>
      </c>
      <c r="G121" s="11" t="s">
        <v>17</v>
      </c>
      <c r="H121" s="11" t="s">
        <v>13</v>
      </c>
      <c r="I121" s="11" t="s">
        <v>27</v>
      </c>
    </row>
    <row r="122" spans="1:9" x14ac:dyDescent="0.25">
      <c r="A122" s="12"/>
      <c r="B122" s="11" t="s">
        <v>33</v>
      </c>
      <c r="C122" s="11" t="s">
        <v>14</v>
      </c>
      <c r="D122" s="11" t="s">
        <v>9</v>
      </c>
      <c r="E122" s="11" t="s">
        <v>387</v>
      </c>
      <c r="F122" s="11" t="s">
        <v>388</v>
      </c>
      <c r="G122" s="11" t="s">
        <v>12</v>
      </c>
      <c r="H122" s="11" t="s">
        <v>13</v>
      </c>
      <c r="I122" s="11" t="s">
        <v>277</v>
      </c>
    </row>
    <row r="123" spans="1:9" x14ac:dyDescent="0.25">
      <c r="A123" s="12"/>
      <c r="B123" s="11" t="s">
        <v>389</v>
      </c>
      <c r="C123" s="11" t="s">
        <v>8</v>
      </c>
      <c r="D123" s="11" t="s">
        <v>19</v>
      </c>
      <c r="E123" s="11" t="s">
        <v>143</v>
      </c>
      <c r="F123" s="11" t="s">
        <v>134</v>
      </c>
      <c r="G123" s="11" t="s">
        <v>17</v>
      </c>
      <c r="H123" s="11" t="s">
        <v>31</v>
      </c>
      <c r="I123" s="11" t="s">
        <v>27</v>
      </c>
    </row>
    <row r="124" spans="1:9" x14ac:dyDescent="0.25">
      <c r="A124" s="12"/>
      <c r="B124" s="11" t="s">
        <v>347</v>
      </c>
      <c r="C124" s="11" t="s">
        <v>14</v>
      </c>
      <c r="D124" s="11" t="s">
        <v>19</v>
      </c>
      <c r="E124" s="11" t="s">
        <v>390</v>
      </c>
      <c r="F124" s="11" t="s">
        <v>205</v>
      </c>
      <c r="G124" s="11" t="s">
        <v>12</v>
      </c>
      <c r="H124" s="11" t="s">
        <v>60</v>
      </c>
      <c r="I124" s="1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32AE-E582-461C-A592-3DE12EA41F7D}">
  <dimension ref="A1:R127"/>
  <sheetViews>
    <sheetView workbookViewId="0">
      <selection activeCell="O22" sqref="O22:R22"/>
    </sheetView>
  </sheetViews>
  <sheetFormatPr defaultRowHeight="15.75" x14ac:dyDescent="0.25"/>
  <cols>
    <col min="1" max="1" width="23.375" bestFit="1" customWidth="1"/>
    <col min="7" max="7" width="19.25" customWidth="1"/>
    <col min="8" max="8" width="12.75" customWidth="1"/>
    <col min="9" max="9" width="10.375" customWidth="1"/>
    <col min="11" max="11" width="9.625" bestFit="1" customWidth="1"/>
    <col min="12" max="12" width="9.375" bestFit="1" customWidth="1"/>
    <col min="13" max="13" width="22.125" bestFit="1" customWidth="1"/>
    <col min="14" max="14" width="15.625" bestFit="1" customWidth="1"/>
    <col min="15" max="15" width="23.625" bestFit="1" customWidth="1"/>
    <col min="16" max="16" width="26.375" customWidth="1"/>
    <col min="17" max="17" width="26.375" style="12" customWidth="1"/>
    <col min="22" max="22" width="22.125" bestFit="1" customWidth="1"/>
  </cols>
  <sheetData>
    <row r="1" spans="1:18" ht="26.25" x14ac:dyDescent="0.4">
      <c r="A1" s="13" t="s">
        <v>4</v>
      </c>
      <c r="B1" s="13"/>
      <c r="C1" s="13"/>
      <c r="D1" s="13"/>
      <c r="E1" s="1"/>
      <c r="G1" s="13" t="s">
        <v>116</v>
      </c>
      <c r="H1" s="13"/>
      <c r="I1" s="13"/>
      <c r="K1" s="13" t="s">
        <v>2</v>
      </c>
      <c r="L1" s="13"/>
      <c r="M1" s="13"/>
      <c r="N1" s="13"/>
      <c r="O1" s="13"/>
      <c r="P1" s="13"/>
      <c r="Q1" s="8"/>
    </row>
    <row r="2" spans="1:18" x14ac:dyDescent="0.25">
      <c r="A2" s="1"/>
      <c r="B2" s="1" t="s">
        <v>113</v>
      </c>
      <c r="C2" s="1" t="s">
        <v>114</v>
      </c>
      <c r="D2" s="1" t="s">
        <v>8</v>
      </c>
      <c r="E2" s="1" t="s">
        <v>115</v>
      </c>
      <c r="G2" s="1" t="s">
        <v>114</v>
      </c>
      <c r="H2" s="1" t="s">
        <v>8</v>
      </c>
      <c r="I2" s="1" t="s">
        <v>115</v>
      </c>
      <c r="K2" s="1" t="s">
        <v>9</v>
      </c>
      <c r="L2" s="1" t="s">
        <v>19</v>
      </c>
      <c r="M2" s="1" t="s">
        <v>24</v>
      </c>
      <c r="N2" s="1" t="s">
        <v>28</v>
      </c>
      <c r="O2" s="1" t="s">
        <v>117</v>
      </c>
      <c r="P2" s="1" t="s">
        <v>118</v>
      </c>
      <c r="Q2" s="3"/>
    </row>
    <row r="3" spans="1:18" x14ac:dyDescent="0.25">
      <c r="A3" s="1" t="s">
        <v>26</v>
      </c>
      <c r="B3" s="1">
        <f>SUM(C3:E3)</f>
        <v>14</v>
      </c>
      <c r="C3" s="1">
        <f>COUNTIFS(data!$C:$C,"male",data!$F:$F,"*avoidance_gen*")</f>
        <v>3</v>
      </c>
      <c r="D3" s="1">
        <f>COUNTIFS(data!$C:$C,"female",data!$F:$F,"*avoidance_gen*")</f>
        <v>10</v>
      </c>
      <c r="E3" s="1">
        <f>COUNTIFS(data!$C:$C,"other",data!$F:$F,"*avoidance_gen*")</f>
        <v>1</v>
      </c>
      <c r="G3" s="1">
        <f>COUNTIF(data!$C:$C,"male*")</f>
        <v>23</v>
      </c>
      <c r="H3" s="1">
        <f>COUNTIF(data!$C:$C,"female*")</f>
        <v>74</v>
      </c>
      <c r="I3" s="1">
        <f>COUNTIF(data!$C:$C,"other*")</f>
        <v>3</v>
      </c>
      <c r="K3" s="1">
        <f>COUNTIF(data!$D:$D,"White")</f>
        <v>61</v>
      </c>
      <c r="L3" s="1">
        <f>COUNTIF(data!$D:$D,"Asian")</f>
        <v>13</v>
      </c>
      <c r="M3" s="1">
        <f>COUNTIF(data!$D:$D,"*black*")</f>
        <v>7</v>
      </c>
      <c r="N3" s="1">
        <f>COUNTIF(data!$D:$D,"*hispanic*")</f>
        <v>12</v>
      </c>
      <c r="O3" s="1">
        <f>COUNTIF(data!$D:$D,"*alaskan*")</f>
        <v>0</v>
      </c>
      <c r="P3" s="1">
        <f>COUNTIF(data!$D:$D,"*Hawaiian*")</f>
        <v>1</v>
      </c>
      <c r="Q3" s="3"/>
    </row>
    <row r="4" spans="1:18" x14ac:dyDescent="0.25">
      <c r="A4" s="1" t="s">
        <v>134</v>
      </c>
      <c r="B4" s="1">
        <f t="shared" ref="B4:B67" si="0">SUM(C4:E4)</f>
        <v>19</v>
      </c>
      <c r="C4" s="1">
        <f>COUNTIFS(data!$C:$C,"male",data!$F:$F,"*anger*")</f>
        <v>5</v>
      </c>
      <c r="D4" s="1">
        <f>COUNTIFS(data!$C:$C,"female",data!$F:$F,"*anger*")</f>
        <v>14</v>
      </c>
      <c r="E4" s="1">
        <f>COUNTIFS(data!$C:$C,"other",data!$F:$F,"*anger*")</f>
        <v>0</v>
      </c>
    </row>
    <row r="5" spans="1:18" x14ac:dyDescent="0.25">
      <c r="A5" s="1" t="s">
        <v>135</v>
      </c>
      <c r="B5" s="1">
        <f t="shared" si="0"/>
        <v>6</v>
      </c>
      <c r="C5" s="1">
        <f>COUNTIFS(data!$C:$C,"male",data!$F:$F,"*appetite*")</f>
        <v>1</v>
      </c>
      <c r="D5" s="1">
        <f>COUNTIFS(data!$C:$C,"female",data!$F:$F,"*appetite*")</f>
        <v>5</v>
      </c>
      <c r="E5" s="1">
        <f>COUNTIFS(data!$C:$C,"other",data!$F:$F,"*appetite*")</f>
        <v>0</v>
      </c>
    </row>
    <row r="6" spans="1:18" ht="26.25" x14ac:dyDescent="0.4">
      <c r="A6" s="1" t="s">
        <v>96</v>
      </c>
      <c r="B6" s="1">
        <f t="shared" si="0"/>
        <v>54</v>
      </c>
      <c r="C6" s="1">
        <f>COUNTIFS(data!$C:$C,"male",data!$F:$F,"*anxiety*")</f>
        <v>10</v>
      </c>
      <c r="D6" s="1">
        <f>COUNTIFS(data!$C:$C,"female",data!$F:$F,"*anxiety*")</f>
        <v>43</v>
      </c>
      <c r="E6" s="1">
        <f>COUNTIFS(data!$C:$C,"other",data!$F:$F,"*anxiety*")</f>
        <v>1</v>
      </c>
      <c r="G6" s="13" t="s">
        <v>5</v>
      </c>
      <c r="H6" s="13"/>
      <c r="I6" s="13"/>
      <c r="K6" s="13" t="s">
        <v>6</v>
      </c>
      <c r="L6" s="13"/>
      <c r="M6" s="13"/>
      <c r="O6" s="13" t="s">
        <v>7</v>
      </c>
      <c r="P6" s="13"/>
      <c r="Q6" s="8"/>
      <c r="R6" s="5"/>
    </row>
    <row r="7" spans="1:18" x14ac:dyDescent="0.25">
      <c r="A7" s="1" t="s">
        <v>136</v>
      </c>
      <c r="B7" s="1">
        <f t="shared" si="0"/>
        <v>19</v>
      </c>
      <c r="C7" s="1">
        <f>COUNTIFS(data!$C:$C,"male",data!$F:$F,"*avoidance_social*")</f>
        <v>4</v>
      </c>
      <c r="D7" s="1">
        <f>COUNTIFS(data!$C:$C,"female",data!$F:$F,"*avoidance_social*")</f>
        <v>15</v>
      </c>
      <c r="E7" s="1">
        <f>COUNTIFS(data!$C:$C,"other",data!$F:$F,"*avoidance_social*")</f>
        <v>0</v>
      </c>
      <c r="G7" s="1" t="s">
        <v>12</v>
      </c>
      <c r="H7" s="1" t="s">
        <v>17</v>
      </c>
      <c r="I7" s="1" t="s">
        <v>21</v>
      </c>
      <c r="K7" s="1" t="s">
        <v>13</v>
      </c>
      <c r="L7" s="1" t="s">
        <v>31</v>
      </c>
      <c r="M7" s="1" t="s">
        <v>37</v>
      </c>
      <c r="O7" s="4" t="s">
        <v>120</v>
      </c>
      <c r="P7" s="1">
        <f>COUNTIF(data!$I:$I,"*journaling*")</f>
        <v>77</v>
      </c>
      <c r="Q7" s="3"/>
      <c r="R7" s="3"/>
    </row>
    <row r="8" spans="1:18" x14ac:dyDescent="0.25">
      <c r="A8" s="1" t="s">
        <v>137</v>
      </c>
      <c r="B8" s="1">
        <f t="shared" si="0"/>
        <v>2</v>
      </c>
      <c r="C8" s="1">
        <f>COUNTIFS(data!$C:$C,"male",data!$F:$F,"*avoidance_presentations*")</f>
        <v>1</v>
      </c>
      <c r="D8" s="1">
        <f>COUNTIFS(data!$C:$C,"female",data!$F:$F,"*avoidance_presentations*")</f>
        <v>1</v>
      </c>
      <c r="E8" s="1">
        <f>COUNTIFS(data!$C:$C,"other",data!$F:$F,"*avoidance_presentations*")</f>
        <v>0</v>
      </c>
      <c r="G8" s="1">
        <f>COUNTIF(data!$G:$G,"advanced")</f>
        <v>28</v>
      </c>
      <c r="H8" s="1">
        <f>COUNTIF(data!$G:$G,"intermediate")</f>
        <v>68</v>
      </c>
      <c r="I8" s="1">
        <f>COUNTIF(data!$G:$G,"beginner")</f>
        <v>8</v>
      </c>
      <c r="K8" s="1">
        <f>COUNTIF(data!$H:$H,"*rumination*")</f>
        <v>90</v>
      </c>
      <c r="L8" s="1">
        <f>COUNTIF(data!$H:$H,"*repression*")</f>
        <v>9</v>
      </c>
      <c r="M8" s="1">
        <f>COUNTIF(data!$H:$H,"*avoidance*")</f>
        <v>18</v>
      </c>
      <c r="O8" s="1" t="s">
        <v>121</v>
      </c>
      <c r="P8" s="1">
        <f>COUNTIF(data!$I:$I,"*breathwork*")</f>
        <v>95</v>
      </c>
      <c r="Q8" s="3"/>
      <c r="R8" s="3"/>
    </row>
    <row r="9" spans="1:18" x14ac:dyDescent="0.25">
      <c r="A9" s="1" t="s">
        <v>138</v>
      </c>
      <c r="B9" s="1">
        <f t="shared" si="0"/>
        <v>5</v>
      </c>
      <c r="C9" s="1">
        <f>COUNTIFS(data!$C:$C,"male",data!$F:$F,"*avoidance_memories*")</f>
        <v>2</v>
      </c>
      <c r="D9" s="1">
        <f>COUNTIFS(data!$C:$C,"female",data!$F:$F,"*avoidance_memories*")</f>
        <v>3</v>
      </c>
      <c r="E9" s="1">
        <f>COUNTIFS(data!$C:$C,"other",data!$F:$F,"*avoidance_memories*")</f>
        <v>0</v>
      </c>
      <c r="O9" s="1" t="s">
        <v>122</v>
      </c>
      <c r="P9" s="1">
        <f>COUNTIF(data!$I:$I,"*meditation*")</f>
        <v>92</v>
      </c>
      <c r="Q9" s="3"/>
      <c r="R9" s="3"/>
    </row>
    <row r="10" spans="1:18" ht="26.25" x14ac:dyDescent="0.4">
      <c r="A10" s="1" t="s">
        <v>139</v>
      </c>
      <c r="B10" s="1">
        <f t="shared" si="0"/>
        <v>1</v>
      </c>
      <c r="C10" s="1">
        <f>COUNTIFS(data!$C:$C,"male",data!$F:$F,"*avoidance_meals*")</f>
        <v>1</v>
      </c>
      <c r="D10" s="1">
        <f>COUNTIFS(data!$C:$C,"female",data!$F:$F,"*avoidance_meals*")</f>
        <v>0</v>
      </c>
      <c r="E10" s="1">
        <f>COUNTIFS(data!$C:$C,"other",data!$F:$F,"*avoidance_meals*")</f>
        <v>0</v>
      </c>
      <c r="G10" s="13" t="s">
        <v>133</v>
      </c>
      <c r="H10" s="13"/>
      <c r="I10" s="13"/>
      <c r="J10" s="13"/>
      <c r="K10" s="2"/>
      <c r="O10" s="1" t="s">
        <v>123</v>
      </c>
      <c r="P10" s="1">
        <f>COUNTIF(data!$I:$I,"*creative_art*")</f>
        <v>88</v>
      </c>
      <c r="Q10" s="3"/>
      <c r="R10" s="3"/>
    </row>
    <row r="11" spans="1:18" x14ac:dyDescent="0.25">
      <c r="A11" s="1" t="s">
        <v>140</v>
      </c>
      <c r="B11" s="1">
        <f t="shared" si="0"/>
        <v>5</v>
      </c>
      <c r="C11" s="1">
        <f>COUNTIFS(data!$C:$C,"male",data!$F:$F,"*aggression*")</f>
        <v>3</v>
      </c>
      <c r="D11" s="1">
        <f>COUNTIFS(data!$C:$C,"female",data!$F:$F,"*aggression*")</f>
        <v>2</v>
      </c>
      <c r="E11" s="1">
        <f>COUNTIFS(data!$C:$C,"other",data!$F:$F,"*aggression*")</f>
        <v>0</v>
      </c>
      <c r="G11" s="1"/>
      <c r="H11" s="1" t="s">
        <v>113</v>
      </c>
      <c r="I11" s="1" t="s">
        <v>114</v>
      </c>
      <c r="J11" s="1" t="s">
        <v>8</v>
      </c>
      <c r="K11" s="1" t="s">
        <v>115</v>
      </c>
      <c r="O11" s="1" t="s">
        <v>124</v>
      </c>
      <c r="P11" s="1">
        <f>COUNTIF(data!$I:$I,"*mindfulness*")</f>
        <v>93</v>
      </c>
      <c r="Q11" s="3"/>
      <c r="R11" s="3"/>
    </row>
    <row r="12" spans="1:18" x14ac:dyDescent="0.25">
      <c r="A12" s="1" t="s">
        <v>141</v>
      </c>
      <c r="B12" s="1">
        <f t="shared" si="0"/>
        <v>12</v>
      </c>
      <c r="C12" s="1">
        <f>COUNTIFS(data!$C:$C,"male",data!$F:$F,"*agitation*")</f>
        <v>2</v>
      </c>
      <c r="D12" s="1">
        <f>COUNTIFS(data!$C:$C,"female",data!$F:$F,"*agitation*")</f>
        <v>10</v>
      </c>
      <c r="E12" s="1">
        <f>COUNTIFS(data!$C:$C,"other",data!$F:$F,"*agitation*")</f>
        <v>0</v>
      </c>
      <c r="G12" s="1" t="s">
        <v>38</v>
      </c>
      <c r="H12" s="1">
        <f>SUM(I12:K12)</f>
        <v>37</v>
      </c>
      <c r="I12" s="1">
        <f>COUNTIFS(data!$C:$C,"male",data!$E:$E,"*GAD*")</f>
        <v>7</v>
      </c>
      <c r="J12" s="1">
        <f>COUNTIFS(data!$C:$C,"female",data!$E:$E,"*GAD*")</f>
        <v>27</v>
      </c>
      <c r="K12" s="1">
        <f>COUNTIFS(data!$C:$C,"other",data!$E:$E,"*GAD*")</f>
        <v>3</v>
      </c>
      <c r="O12" s="1" t="s">
        <v>125</v>
      </c>
      <c r="P12" s="1">
        <f>COUNTIF(data!$I:$I,"*guided_imagery*")</f>
        <v>86</v>
      </c>
      <c r="Q12" s="3"/>
      <c r="R12" s="3"/>
    </row>
    <row r="13" spans="1:18" x14ac:dyDescent="0.25">
      <c r="A13" s="1" t="s">
        <v>142</v>
      </c>
      <c r="B13" s="1">
        <f t="shared" si="0"/>
        <v>31</v>
      </c>
      <c r="C13" s="1">
        <f>COUNTIFS(data!$C:$C,"male",data!$F:$F,"*attention*")</f>
        <v>4</v>
      </c>
      <c r="D13" s="1">
        <f>COUNTIFS(data!$C:$C,"female",data!$F:$F,"*attention*")</f>
        <v>27</v>
      </c>
      <c r="E13" s="1">
        <f>COUNTIFS(data!$C:$C,"other",data!$F:$F,"*attention*")</f>
        <v>0</v>
      </c>
      <c r="G13" s="1" t="s">
        <v>143</v>
      </c>
      <c r="H13" s="1">
        <f t="shared" ref="H13:H52" si="1">SUM(I13:K13)</f>
        <v>2</v>
      </c>
      <c r="I13" s="1">
        <f>COUNTIFS(data!$C:$C,"male",data!$E:$E,"*agoraphobia*")</f>
        <v>1</v>
      </c>
      <c r="J13" s="1">
        <f>COUNTIFS(data!$C:$C,"female",data!$E:$E,"*agoraphobia*")</f>
        <v>1</v>
      </c>
      <c r="K13" s="1">
        <f>COUNTIFS(data!$C:$C,"other",data!$E:$E,"*agoraphobia*")</f>
        <v>0</v>
      </c>
      <c r="O13" s="1" t="s">
        <v>126</v>
      </c>
      <c r="P13" s="1">
        <f>COUNTIF(data!$I:$I,"*exercise*")</f>
        <v>94</v>
      </c>
      <c r="Q13" s="3"/>
      <c r="R13" s="3"/>
    </row>
    <row r="14" spans="1:18" x14ac:dyDescent="0.25">
      <c r="A14" s="1" t="s">
        <v>144</v>
      </c>
      <c r="B14" s="1">
        <f t="shared" si="0"/>
        <v>6</v>
      </c>
      <c r="C14" s="1">
        <f>COUNTIFS(data!$C:$C,"male",data!$F:$F,"*acceptance*")</f>
        <v>1</v>
      </c>
      <c r="D14" s="1">
        <f>COUNTIFS(data!$C:$C,"female",data!$F:$F,"*acceptance*")</f>
        <v>5</v>
      </c>
      <c r="E14" s="1">
        <f>COUNTIFS(data!$C:$C,"other",data!$F:$F,"*acceptance*")</f>
        <v>0</v>
      </c>
      <c r="G14" s="1" t="s">
        <v>145</v>
      </c>
      <c r="H14" s="1">
        <f t="shared" si="1"/>
        <v>2</v>
      </c>
      <c r="I14" s="1">
        <f>COUNTIFS(data!$C:$C,"male",data!$E:$E,"*anorexia*")</f>
        <v>0</v>
      </c>
      <c r="J14" s="1">
        <f>COUNTIFS(data!$C:$C,"female",data!$E:$E,"*anorexia*")</f>
        <v>2</v>
      </c>
      <c r="K14" s="1">
        <f>COUNTIFS(data!$C:$C,"other",data!$E:$E,"*anorexia*")</f>
        <v>0</v>
      </c>
      <c r="O14" s="1" t="s">
        <v>127</v>
      </c>
      <c r="P14" s="1">
        <f>COUNTIF(data!$I:$I,"*yoga*")</f>
        <v>87</v>
      </c>
      <c r="Q14" s="3"/>
      <c r="R14" s="3"/>
    </row>
    <row r="15" spans="1:18" x14ac:dyDescent="0.25">
      <c r="A15" s="1" t="s">
        <v>146</v>
      </c>
      <c r="B15" s="1">
        <f t="shared" si="0"/>
        <v>24</v>
      </c>
      <c r="C15" s="1">
        <f>COUNTIFS(data!$C:$C,"male",data!$F:$F,"*body_image*")</f>
        <v>1</v>
      </c>
      <c r="D15" s="1">
        <f>COUNTIFS(data!$C:$C,"female",data!$F:$F,"*body_image*")</f>
        <v>23</v>
      </c>
      <c r="E15" s="1">
        <f>COUNTIFS(data!$C:$C,"other",data!$F:$F,"*body_image*")</f>
        <v>0</v>
      </c>
      <c r="G15" s="1" t="s">
        <v>93</v>
      </c>
      <c r="H15" s="1">
        <f t="shared" si="1"/>
        <v>7</v>
      </c>
      <c r="I15" s="1">
        <f>COUNTIFS(data!$C:$C,"male",data!$E:$E,"*ADD*")</f>
        <v>1</v>
      </c>
      <c r="J15" s="1">
        <f>COUNTIFS(data!$C:$C,"female",data!$E:$E,"*ADD*")</f>
        <v>6</v>
      </c>
      <c r="K15" s="1">
        <f>COUNTIFS(data!$C:$C,"other",data!$E:$E,"*ADD*")</f>
        <v>0</v>
      </c>
      <c r="O15" s="1" t="s">
        <v>128</v>
      </c>
      <c r="P15" s="1">
        <f>COUNTIF(data!$I:$I,"*tai_chi*")</f>
        <v>92</v>
      </c>
      <c r="Q15" s="3"/>
      <c r="R15" s="3"/>
    </row>
    <row r="16" spans="1:18" x14ac:dyDescent="0.25">
      <c r="A16" s="1" t="s">
        <v>147</v>
      </c>
      <c r="B16" s="1">
        <f t="shared" si="0"/>
        <v>5</v>
      </c>
      <c r="C16" s="1">
        <f>COUNTIFS(data!$C:$C,"male",data!$F:$F,"*binge*")</f>
        <v>1</v>
      </c>
      <c r="D16" s="1">
        <f>COUNTIFS(data!$C:$C,"female",data!$F:$F,"*binge*")</f>
        <v>4</v>
      </c>
      <c r="E16" s="1">
        <f>COUNTIFS(data!$C:$C,"other",data!$F:$F,"*binge*")</f>
        <v>0</v>
      </c>
      <c r="G16" s="1" t="s">
        <v>148</v>
      </c>
      <c r="H16" s="1">
        <f t="shared" si="1"/>
        <v>5</v>
      </c>
      <c r="I16" s="1">
        <f>COUNTIFS(data!$C:$C,"male",data!$E:$E,"*ADHD*")</f>
        <v>1</v>
      </c>
      <c r="J16" s="1">
        <f>COUNTIFS(data!$C:$C,"female",data!$E:$E,"*ADHD*")</f>
        <v>4</v>
      </c>
      <c r="K16" s="1">
        <f>COUNTIFS(data!$C:$C,"other",data!$E:$E,"*ADHD*")</f>
        <v>0</v>
      </c>
      <c r="O16" s="1" t="s">
        <v>129</v>
      </c>
      <c r="P16" s="1">
        <f>COUNTIF(data!$I:$I,"*qi_gong*")</f>
        <v>91</v>
      </c>
      <c r="Q16" s="3"/>
      <c r="R16" s="3"/>
    </row>
    <row r="17" spans="1:18" x14ac:dyDescent="0.25">
      <c r="A17" s="1" t="s">
        <v>149</v>
      </c>
      <c r="B17" s="1">
        <f t="shared" si="0"/>
        <v>3</v>
      </c>
      <c r="C17" s="1">
        <f>COUNTIFS(data!$C:$C,"male",data!$F:$F,"*boredom*")</f>
        <v>1</v>
      </c>
      <c r="D17" s="1">
        <f>COUNTIFS(data!$C:$C,"female",data!$F:$F,"*boredom*")</f>
        <v>2</v>
      </c>
      <c r="E17" s="1">
        <f>COUNTIFS(data!$C:$C,"other",data!$F:$F,"*boredom*")</f>
        <v>0</v>
      </c>
      <c r="G17" s="1" t="s">
        <v>150</v>
      </c>
      <c r="H17" s="1">
        <f t="shared" si="1"/>
        <v>1</v>
      </c>
      <c r="I17" s="1">
        <f>COUNTIFS(data!$C:$C,"male",data!$E:$E,"*adjustment_disorder*")</f>
        <v>0</v>
      </c>
      <c r="J17" s="1">
        <f>COUNTIFS(data!$C:$C,"female",data!$E:$E,"*adjustment_disorder*")</f>
        <v>1</v>
      </c>
      <c r="K17" s="1">
        <f>COUNTIFS(data!$C:$C,"other",data!$E:$E,"*adjustment_disorder*")</f>
        <v>0</v>
      </c>
      <c r="O17" s="1" t="s">
        <v>130</v>
      </c>
      <c r="P17" s="1">
        <f>COUNTIF(data!$I:$I,"*dance*")</f>
        <v>88</v>
      </c>
      <c r="Q17" s="3"/>
      <c r="R17" s="3"/>
    </row>
    <row r="18" spans="1:18" x14ac:dyDescent="0.25">
      <c r="A18" s="1" t="s">
        <v>151</v>
      </c>
      <c r="B18" s="1">
        <f t="shared" si="0"/>
        <v>0</v>
      </c>
      <c r="C18" s="1">
        <f>COUNTIFS(data!$C:$C,"male",data!$F:$F,"*blackouts*")</f>
        <v>0</v>
      </c>
      <c r="D18" s="1">
        <f>COUNTIFS(data!$C:$C,"female",data!$F:$F,"*blackouts*")</f>
        <v>0</v>
      </c>
      <c r="E18" s="1">
        <f>COUNTIFS(data!$C:$C,"other",data!$F:$F,"*blackouts*")</f>
        <v>0</v>
      </c>
      <c r="G18" s="1" t="s">
        <v>152</v>
      </c>
      <c r="H18" s="1">
        <f t="shared" si="1"/>
        <v>6</v>
      </c>
      <c r="I18" s="1">
        <f>COUNTIFS(data!$C:$C,"male",data!$E:$E,"*asthma*")</f>
        <v>0</v>
      </c>
      <c r="J18" s="1">
        <f>COUNTIFS(data!$C:$C,"female",data!$E:$E,"*asthma*")</f>
        <v>6</v>
      </c>
      <c r="K18" s="1">
        <f>COUNTIFS(data!$C:$C,"other",data!$E:$E,"*asthma*")</f>
        <v>0</v>
      </c>
      <c r="O18" s="1" t="s">
        <v>131</v>
      </c>
      <c r="P18" s="1">
        <f>COUNTIF(data!$I:$I,"*music*")</f>
        <v>96</v>
      </c>
      <c r="Q18" s="3"/>
      <c r="R18" s="3"/>
    </row>
    <row r="19" spans="1:18" x14ac:dyDescent="0.25">
      <c r="A19" s="1" t="s">
        <v>153</v>
      </c>
      <c r="B19" s="1">
        <f t="shared" si="0"/>
        <v>3</v>
      </c>
      <c r="C19" s="1">
        <f>COUNTIFS(data!$C:$C,"male",data!$F:$F,"*control*")</f>
        <v>0</v>
      </c>
      <c r="D19" s="1">
        <f>COUNTIFS(data!$C:$C,"female",data!$F:$F,"*control*")</f>
        <v>3</v>
      </c>
      <c r="E19" s="1">
        <f>COUNTIFS(data!$C:$C,"other",data!$F:$F,"*control*")</f>
        <v>0</v>
      </c>
      <c r="G19" s="1" t="s">
        <v>154</v>
      </c>
      <c r="H19" s="1">
        <f t="shared" si="1"/>
        <v>1</v>
      </c>
      <c r="I19" s="1">
        <f>COUNTIFS(data!$C:$C,"male",data!$E:$E,"*arthritis*")</f>
        <v>0</v>
      </c>
      <c r="J19" s="1">
        <f>COUNTIFS(data!$C:$C,"female",data!$E:$E,"*arthritis*")</f>
        <v>0</v>
      </c>
      <c r="K19" s="1">
        <f>COUNTIFS(data!$C:$C,"other",data!$E:$E,"*arthritis*")</f>
        <v>1</v>
      </c>
      <c r="O19" s="1" t="s">
        <v>132</v>
      </c>
      <c r="P19" s="1">
        <f>COUNTIF(data!$I:$I,"*social_support*")</f>
        <v>90</v>
      </c>
      <c r="Q19" s="3"/>
      <c r="R19" s="3"/>
    </row>
    <row r="20" spans="1:18" x14ac:dyDescent="0.25">
      <c r="A20" s="1" t="s">
        <v>165</v>
      </c>
      <c r="B20" s="1">
        <f t="shared" si="0"/>
        <v>15</v>
      </c>
      <c r="C20" s="1">
        <f>COUNTIFS(data!$C:$C,"male",data!$F:$F,"*chronic_pain*")</f>
        <v>1</v>
      </c>
      <c r="D20" s="1">
        <f>COUNTIFS(data!$C:$C,"female",data!$F:$F,"*chronic_pain*")</f>
        <v>13</v>
      </c>
      <c r="E20" s="1">
        <f>COUNTIFS(data!$C:$C,"other",data!$F:$F,"*chronic_pain*")</f>
        <v>1</v>
      </c>
      <c r="G20" s="1" t="s">
        <v>155</v>
      </c>
      <c r="H20" s="1">
        <f t="shared" si="1"/>
        <v>5</v>
      </c>
      <c r="I20" s="1">
        <f>COUNTIFS(data!$C:$C,"male",data!$E:$E,"*autoimmune_unsp*")</f>
        <v>0</v>
      </c>
      <c r="J20" s="1">
        <f>COUNTIFS(data!$C:$C,"female",data!$E:$E,"*autoimmune_unsp*")</f>
        <v>5</v>
      </c>
      <c r="K20" s="1">
        <f>COUNTIFS(data!$C:$C,"other",data!$E:$E,"*autoimmune_unsp*")</f>
        <v>0</v>
      </c>
      <c r="O20" s="1" t="s">
        <v>119</v>
      </c>
      <c r="P20" s="1">
        <f>COUNTIF(data!$I:$I,"*CBT*")</f>
        <v>79</v>
      </c>
      <c r="Q20" s="3"/>
      <c r="R20" s="3"/>
    </row>
    <row r="21" spans="1:18" x14ac:dyDescent="0.25">
      <c r="A21" s="1" t="s">
        <v>156</v>
      </c>
      <c r="B21" s="1">
        <f t="shared" si="0"/>
        <v>2</v>
      </c>
      <c r="C21" s="1">
        <f>COUNTIFS(data!$C:$C,"male",data!$F:$F,"*cardiac_unsp*")</f>
        <v>1</v>
      </c>
      <c r="D21" s="1">
        <f>COUNTIFS(data!$C:$C,"female",data!$F:$F,"*cardiac_unsp*")</f>
        <v>1</v>
      </c>
      <c r="E21" s="1">
        <f>COUNTIFS(data!$C:$C,"other",data!$F:$F,"*cardiac_unsp*")</f>
        <v>0</v>
      </c>
      <c r="G21" s="1" t="s">
        <v>157</v>
      </c>
      <c r="H21" s="1">
        <f t="shared" si="1"/>
        <v>0</v>
      </c>
      <c r="I21" s="1">
        <f>COUNTIFS(data!$C:$C,"male",data!$E:$E,"*bulimia*")</f>
        <v>0</v>
      </c>
      <c r="J21" s="1">
        <f>COUNTIFS(data!$C:$C,"female",data!$E:$E,"*bulimia*")</f>
        <v>0</v>
      </c>
      <c r="K21" s="1">
        <f>COUNTIFS(data!$C:$C,"other",data!$E:$E,"*bulimia*")</f>
        <v>0</v>
      </c>
    </row>
    <row r="22" spans="1:18" ht="26.25" x14ac:dyDescent="0.4">
      <c r="A22" s="1" t="s">
        <v>158</v>
      </c>
      <c r="B22" s="1">
        <f t="shared" si="0"/>
        <v>5</v>
      </c>
      <c r="C22" s="1">
        <f>COUNTIFS(data!$C:$C,"male",data!$F:$F,"*chest_pain*")</f>
        <v>1</v>
      </c>
      <c r="D22" s="1">
        <f>COUNTIFS(data!$C:$C,"female",data!$F:$F,"*chest_pain*")</f>
        <v>4</v>
      </c>
      <c r="E22" s="1">
        <f>COUNTIFS(data!$C:$C,"other",data!$F:$F,"*chest_pain*")</f>
        <v>0</v>
      </c>
      <c r="G22" s="1" t="s">
        <v>159</v>
      </c>
      <c r="H22" s="1">
        <f t="shared" si="1"/>
        <v>6</v>
      </c>
      <c r="I22" s="1">
        <f>COUNTIFS(data!$C:$C,"male",data!$E:$E,"*bipolar*")</f>
        <v>1</v>
      </c>
      <c r="J22" s="1">
        <f>COUNTIFS(data!$C:$C,"female",data!$E:$E,"*bipolar*")</f>
        <v>4</v>
      </c>
      <c r="K22" s="1">
        <f>COUNTIFS(data!$C:$C,"other",data!$E:$E,"*bipolar*")</f>
        <v>1</v>
      </c>
      <c r="O22" s="13" t="s">
        <v>392</v>
      </c>
      <c r="P22" s="13"/>
      <c r="Q22" s="13"/>
      <c r="R22" s="13"/>
    </row>
    <row r="23" spans="1:18" x14ac:dyDescent="0.25">
      <c r="A23" s="1" t="s">
        <v>160</v>
      </c>
      <c r="B23" s="1">
        <f t="shared" si="0"/>
        <v>2</v>
      </c>
      <c r="C23" s="1">
        <f>COUNTIFS(data!$C:$C,"male",data!$F:$F,"*compulsions*")</f>
        <v>1</v>
      </c>
      <c r="D23" s="1">
        <f>COUNTIFS(data!$C:$C,"female",data!$F:$F,"*compulsions*")</f>
        <v>1</v>
      </c>
      <c r="E23" s="1">
        <f>COUNTIFS(data!$C:$C,"other",data!$F:$F,"*compulsions*")</f>
        <v>0</v>
      </c>
      <c r="G23" s="1" t="s">
        <v>161</v>
      </c>
      <c r="H23" s="1">
        <f t="shared" si="1"/>
        <v>2</v>
      </c>
      <c r="I23" s="1">
        <f>COUNTIFS(data!$C:$C,"male",data!$E:$E,"*bereavement*")</f>
        <v>0</v>
      </c>
      <c r="J23" s="1">
        <f>COUNTIFS(data!$C:$C,"female",data!$E:$E,"*bereavement*")</f>
        <v>2</v>
      </c>
      <c r="K23" s="1">
        <f>COUNTIFS(data!$C:$C,"other",data!$E:$E,"*bereavement*")</f>
        <v>0</v>
      </c>
      <c r="O23" s="1" t="s">
        <v>393</v>
      </c>
      <c r="P23" s="1" t="s">
        <v>394</v>
      </c>
      <c r="Q23" s="1" t="s">
        <v>395</v>
      </c>
      <c r="R23" s="1" t="s">
        <v>115</v>
      </c>
    </row>
    <row r="24" spans="1:18" x14ac:dyDescent="0.25">
      <c r="A24" s="1" t="s">
        <v>162</v>
      </c>
      <c r="B24" s="1">
        <f t="shared" si="0"/>
        <v>2</v>
      </c>
      <c r="C24" s="1">
        <f>COUNTIFS(data!$C:$C,"male",data!$F:$F,"*checking_behav*")</f>
        <v>0</v>
      </c>
      <c r="D24" s="1">
        <f>COUNTIFS(data!$C:$C,"female",data!$F:$F,"*checking_behav*")</f>
        <v>2</v>
      </c>
      <c r="E24" s="1">
        <f>COUNTIFS(data!$C:$C,"other",data!$F:$F,"*checking_behav*")</f>
        <v>0</v>
      </c>
      <c r="G24" s="1" t="s">
        <v>163</v>
      </c>
      <c r="H24" s="1">
        <f t="shared" si="1"/>
        <v>2</v>
      </c>
      <c r="I24" s="1">
        <f>COUNTIFS(data!$C:$C,"male",data!$E:$E,"*cancer_unsp*")</f>
        <v>0</v>
      </c>
      <c r="J24" s="1">
        <f>COUNTIFS(data!$C:$C,"female",data!$E:$E,"*cancer_unsp*")</f>
        <v>2</v>
      </c>
      <c r="K24" s="1">
        <f>COUNTIFS(data!$C:$C,"other",data!$E:$E,"*cancer_unsp*")</f>
        <v>0</v>
      </c>
      <c r="O24" s="1">
        <f>COUNTIF(data!$B:$B,"Your school")</f>
        <v>18</v>
      </c>
      <c r="P24" s="1">
        <f>COUNTIF(data!$B:$B,"Your employer")</f>
        <v>2</v>
      </c>
      <c r="Q24" s="1">
        <f>COUNTIF(data!$B:$B,"Your healthcare provider or doctor")</f>
        <v>1</v>
      </c>
      <c r="R24" s="1">
        <f>COUNTIF(data!$B:$B,"Other")</f>
        <v>3</v>
      </c>
    </row>
    <row r="25" spans="1:18" x14ac:dyDescent="0.25">
      <c r="A25" s="1" t="s">
        <v>164</v>
      </c>
      <c r="B25" s="1">
        <f t="shared" si="0"/>
        <v>0</v>
      </c>
      <c r="C25" s="1">
        <f>COUNTIFS(data!$C:$C,"male",data!$F:$F,"*counting_behav*")</f>
        <v>0</v>
      </c>
      <c r="D25" s="1">
        <f>COUNTIFS(data!$C:$C,"female",data!$F:$F,"*counting_behav*")</f>
        <v>0</v>
      </c>
      <c r="E25" s="1">
        <f>COUNTIFS(data!$C:$C,"other",data!$F:$F,"*counting_behav*")</f>
        <v>0</v>
      </c>
      <c r="G25" s="1" t="s">
        <v>165</v>
      </c>
      <c r="H25" s="1">
        <f t="shared" si="1"/>
        <v>9</v>
      </c>
      <c r="I25" s="1">
        <f>COUNTIFS(data!$C:$C,"male",data!$E:$E,"*chronic_pain*")</f>
        <v>1</v>
      </c>
      <c r="J25" s="1">
        <f>COUNTIFS(data!$C:$C,"female",data!$E:$E,"*chronic_pain*")</f>
        <v>7</v>
      </c>
      <c r="K25" s="1">
        <f>COUNTIFS(data!$C:$C,"other",data!$E:$E,"*chronic_pain*")</f>
        <v>1</v>
      </c>
    </row>
    <row r="26" spans="1:18" x14ac:dyDescent="0.25">
      <c r="A26" s="1" t="s">
        <v>166</v>
      </c>
      <c r="B26" s="1">
        <f t="shared" si="0"/>
        <v>5</v>
      </c>
      <c r="C26" s="1">
        <f>COUNTIFS(data!$C:$C,"male",data!$F:$F,"*craving*")</f>
        <v>1</v>
      </c>
      <c r="D26" s="1">
        <f>COUNTIFS(data!$C:$C,"female",data!$F:$F,"*craving*")</f>
        <v>4</v>
      </c>
      <c r="E26" s="1">
        <f>COUNTIFS(data!$C:$C,"other",data!$F:$F,"*craving*")</f>
        <v>0</v>
      </c>
      <c r="G26" s="1" t="s">
        <v>167</v>
      </c>
      <c r="H26" s="1">
        <f t="shared" si="1"/>
        <v>5</v>
      </c>
      <c r="I26" s="1">
        <f>COUNTIFS(data!$C:$C,"male",data!$E:$E,"*migraines*")</f>
        <v>1</v>
      </c>
      <c r="J26" s="1">
        <f>COUNTIFS(data!$C:$C,"female",data!$E:$E,"*migraines*")</f>
        <v>4</v>
      </c>
      <c r="K26" s="1">
        <f>COUNTIFS(data!$C:$C,"other",data!$E:$E,"*migraines*")</f>
        <v>0</v>
      </c>
    </row>
    <row r="27" spans="1:18" x14ac:dyDescent="0.25">
      <c r="A27" s="1" t="s">
        <v>168</v>
      </c>
      <c r="B27" s="1">
        <f t="shared" si="0"/>
        <v>0</v>
      </c>
      <c r="C27" s="1">
        <f>COUNTIFS(data!$C:$C,"male",data!$F:$F,"*confused_speech*")</f>
        <v>0</v>
      </c>
      <c r="D27" s="1">
        <f>COUNTIFS(data!$C:$C,"female",data!$F:$F,"*confused_speech*")</f>
        <v>0</v>
      </c>
      <c r="E27" s="1">
        <f>COUNTIFS(data!$C:$C,"other",data!$F:$F,"*confused_speech*")</f>
        <v>0</v>
      </c>
      <c r="G27" s="1" t="s">
        <v>169</v>
      </c>
      <c r="H27" s="1">
        <f t="shared" si="1"/>
        <v>12</v>
      </c>
      <c r="I27" s="1">
        <f>COUNTIFS(data!$C:$C,"male",data!$E:$E,"*chronic_stress*")</f>
        <v>2</v>
      </c>
      <c r="J27" s="1">
        <f>COUNTIFS(data!$C:$C,"female",data!$E:$E,"*chronic_stress*")</f>
        <v>10</v>
      </c>
      <c r="K27" s="1">
        <f>COUNTIFS(data!$C:$C,"other",data!$E:$E,"*chronic_stress*")</f>
        <v>0</v>
      </c>
    </row>
    <row r="28" spans="1:18" x14ac:dyDescent="0.25">
      <c r="A28" s="1" t="s">
        <v>170</v>
      </c>
      <c r="B28" s="1">
        <f t="shared" si="0"/>
        <v>2</v>
      </c>
      <c r="C28" s="1">
        <f>COUNTIFS(data!$C:$C,"male",data!$F:$F,"*communication*")</f>
        <v>1</v>
      </c>
      <c r="D28" s="1">
        <f>COUNTIFS(data!$C:$C,"female",data!$F:$F,"*communication*")</f>
        <v>1</v>
      </c>
      <c r="E28" s="1">
        <f>COUNTIFS(data!$C:$C,"other",data!$F:$F,"*communication*")</f>
        <v>0</v>
      </c>
      <c r="G28" s="1" t="s">
        <v>171</v>
      </c>
      <c r="H28" s="1">
        <f t="shared" si="1"/>
        <v>1</v>
      </c>
      <c r="I28" s="1">
        <f>COUNTIFS(data!$C:$C,"male",data!$E:$E,"*COPD*")</f>
        <v>1</v>
      </c>
      <c r="J28" s="1">
        <f>COUNTIFS(data!$C:$C,"female",data!$E:$E,"*COPD*")</f>
        <v>0</v>
      </c>
      <c r="K28" s="1">
        <f>COUNTIFS(data!$C:$C,"other",data!$E:$E,"*COPD*")</f>
        <v>0</v>
      </c>
    </row>
    <row r="29" spans="1:18" x14ac:dyDescent="0.25">
      <c r="A29" s="1" t="s">
        <v>172</v>
      </c>
      <c r="B29" s="1">
        <f t="shared" si="0"/>
        <v>8</v>
      </c>
      <c r="C29" s="1">
        <f>COUNTIFS(data!$C:$C,"male",data!$F:$F,"*compulsive_eating*")</f>
        <v>2</v>
      </c>
      <c r="D29" s="1">
        <f>COUNTIFS(data!$C:$C,"female",data!$F:$F,"*compulsive_eating*")</f>
        <v>6</v>
      </c>
      <c r="E29" s="1">
        <f>COUNTIFS(data!$C:$C,"other",data!$F:$F,"*compulsive_eating*")</f>
        <v>0</v>
      </c>
      <c r="G29" s="1" t="s">
        <v>173</v>
      </c>
      <c r="H29" s="1">
        <f t="shared" si="1"/>
        <v>2</v>
      </c>
      <c r="I29" s="1">
        <f>COUNTIFS(data!$C:$C,"male",data!$E:$E,"*CVD*")</f>
        <v>1</v>
      </c>
      <c r="J29" s="1">
        <f>COUNTIFS(data!$C:$C,"female",data!$E:$E,"*CVD*")</f>
        <v>1</v>
      </c>
      <c r="K29" s="1">
        <f>COUNTIFS(data!$C:$C,"other",data!$E:$E,"*CVD*")</f>
        <v>0</v>
      </c>
    </row>
    <row r="30" spans="1:18" x14ac:dyDescent="0.25">
      <c r="A30" s="1" t="s">
        <v>174</v>
      </c>
      <c r="B30" s="1">
        <f t="shared" si="0"/>
        <v>3</v>
      </c>
      <c r="C30" s="1">
        <f>COUNTIFS(data!$C:$C,"male",data!$F:$F,"*catastrophizing*")</f>
        <v>2</v>
      </c>
      <c r="D30" s="1">
        <f>COUNTIFS(data!$C:$C,"female",data!$F:$F,"*catastrophizing*")</f>
        <v>1</v>
      </c>
      <c r="E30" s="1">
        <f>COUNTIFS(data!$C:$C,"other",data!$F:$F,"*catastrophizing*")</f>
        <v>0</v>
      </c>
      <c r="G30" s="1" t="s">
        <v>175</v>
      </c>
      <c r="H30" s="1">
        <f t="shared" si="1"/>
        <v>1</v>
      </c>
      <c r="I30" s="1">
        <f>COUNTIFS(data!$C:$C,"male",data!$E:$E,"*dissociative_unsp*")</f>
        <v>0</v>
      </c>
      <c r="J30" s="1">
        <f>COUNTIFS(data!$C:$C,"female",data!$E:$E,"*dissociative_unsp*")</f>
        <v>1</v>
      </c>
      <c r="K30" s="1">
        <f>COUNTIFS(data!$C:$C,"other",data!$E:$E,"*dissociative_unsp*")</f>
        <v>0</v>
      </c>
    </row>
    <row r="31" spans="1:18" x14ac:dyDescent="0.25">
      <c r="A31" s="1" t="s">
        <v>176</v>
      </c>
      <c r="B31" s="1">
        <f t="shared" si="0"/>
        <v>4</v>
      </c>
      <c r="C31" s="1">
        <f>COUNTIFS(data!$C:$C,"male",data!$F:$F,"*dizziness*")</f>
        <v>0</v>
      </c>
      <c r="D31" s="1">
        <f>COUNTIFS(data!$C:$C,"female",data!$F:$F,"*dizziness*")</f>
        <v>4</v>
      </c>
      <c r="E31" s="1">
        <f>COUNTIFS(data!$C:$C,"other",data!$F:$F,"*dizziness*")</f>
        <v>0</v>
      </c>
      <c r="G31" s="1" t="s">
        <v>177</v>
      </c>
      <c r="H31" s="1">
        <f t="shared" si="1"/>
        <v>0</v>
      </c>
      <c r="I31" s="1">
        <f>COUNTIFS(data!$C:$C,"male",data!$E:$E,"*diabetes*")</f>
        <v>0</v>
      </c>
      <c r="J31" s="1">
        <f>COUNTIFS(data!$C:$C,"female",data!$E:$E,"*diabetes*")</f>
        <v>0</v>
      </c>
      <c r="K31" s="1">
        <f>COUNTIFS(data!$C:$C,"other",data!$E:$E,"*diabetes*")</f>
        <v>0</v>
      </c>
    </row>
    <row r="32" spans="1:18" x14ac:dyDescent="0.25">
      <c r="A32" s="1" t="s">
        <v>112</v>
      </c>
      <c r="B32" s="1">
        <f t="shared" si="0"/>
        <v>22</v>
      </c>
      <c r="C32" s="1">
        <f>COUNTIFS(data!$C:$C,"male",data!$F:$F,"*depression*")</f>
        <v>6</v>
      </c>
      <c r="D32" s="1">
        <f>COUNTIFS(data!$C:$C,"female",data!$F:$F,"*depression*")</f>
        <v>16</v>
      </c>
      <c r="E32" s="1">
        <f>COUNTIFS(data!$C:$C,"other",data!$F:$F,"*depression*")</f>
        <v>0</v>
      </c>
      <c r="G32" s="1" t="s">
        <v>89</v>
      </c>
      <c r="H32" s="1">
        <f t="shared" si="1"/>
        <v>5</v>
      </c>
      <c r="I32" s="1">
        <f>COUNTIFS(data!$C:$C,"male",data!$E:$E,"*endometriosis*")</f>
        <v>0</v>
      </c>
      <c r="J32" s="1">
        <f>COUNTIFS(data!$C:$C,"female",data!$E:$E,"*endometriosis*")</f>
        <v>5</v>
      </c>
      <c r="K32" s="1">
        <f>COUNTIFS(data!$C:$C,"other",data!$E:$E,"*endometriosis*")</f>
        <v>0</v>
      </c>
    </row>
    <row r="33" spans="1:11" x14ac:dyDescent="0.25">
      <c r="A33" s="1" t="s">
        <v>178</v>
      </c>
      <c r="B33" s="1">
        <f t="shared" si="0"/>
        <v>5</v>
      </c>
      <c r="C33" s="1">
        <f>COUNTIFS(data!$C:$C,"male",data!$F:$F,"*detachment*")</f>
        <v>1</v>
      </c>
      <c r="D33" s="1">
        <f>COUNTIFS(data!$C:$C,"female",data!$F:$F,"*detachment*")</f>
        <v>4</v>
      </c>
      <c r="E33" s="1">
        <f>COUNTIFS(data!$C:$C,"other",data!$F:$F,"*detachment*")</f>
        <v>0</v>
      </c>
      <c r="G33" s="1" t="s">
        <v>179</v>
      </c>
      <c r="H33" s="1">
        <f t="shared" si="1"/>
        <v>4</v>
      </c>
      <c r="I33" s="1">
        <f>COUNTIFS(data!$C:$C,"male",data!$E:$E,"*fibromyalgia*")</f>
        <v>0</v>
      </c>
      <c r="J33" s="1">
        <f>COUNTIFS(data!$C:$C,"female",data!$E:$E,"*fibromyalgia*")</f>
        <v>4</v>
      </c>
      <c r="K33" s="1">
        <f>COUNTIFS(data!$C:$C,"other",data!$E:$E,"*fibromyalgia*")</f>
        <v>0</v>
      </c>
    </row>
    <row r="34" spans="1:11" x14ac:dyDescent="0.25">
      <c r="A34" s="1" t="s">
        <v>180</v>
      </c>
      <c r="B34" s="1">
        <f t="shared" si="0"/>
        <v>1</v>
      </c>
      <c r="C34" s="1">
        <f>COUNTIFS(data!$C:$C,"male",data!$F:$F,"*disability*")</f>
        <v>0</v>
      </c>
      <c r="D34" s="1">
        <f>COUNTIFS(data!$C:$C,"female",data!$F:$F,"*disability*")</f>
        <v>1</v>
      </c>
      <c r="E34" s="1">
        <f>COUNTIFS(data!$C:$C,"other",data!$F:$F,"*disability*")</f>
        <v>0</v>
      </c>
      <c r="G34" s="1" t="s">
        <v>181</v>
      </c>
      <c r="H34" s="1">
        <f t="shared" si="1"/>
        <v>0</v>
      </c>
      <c r="I34" s="1">
        <f>COUNTIFS(data!$C:$C,"male",data!$E:$E,"*HIV*")</f>
        <v>0</v>
      </c>
      <c r="J34" s="1">
        <f>COUNTIFS(data!$C:$C,"female",data!$E:$E,"*HIV*")</f>
        <v>0</v>
      </c>
      <c r="K34" s="1">
        <f>COUNTIFS(data!$C:$C,"other",data!$E:$E,"*HIV*")</f>
        <v>0</v>
      </c>
    </row>
    <row r="35" spans="1:11" x14ac:dyDescent="0.25">
      <c r="A35" s="1" t="s">
        <v>182</v>
      </c>
      <c r="B35" s="1">
        <f t="shared" si="0"/>
        <v>5</v>
      </c>
      <c r="C35" s="1">
        <f>COUNTIFS(data!$C:$C,"male",data!$F:$F,"*distress_memories*")</f>
        <v>1</v>
      </c>
      <c r="D35" s="1">
        <f>COUNTIFS(data!$C:$C,"female",data!$F:$F,"*distress_memories*")</f>
        <v>4</v>
      </c>
      <c r="E35" s="1">
        <f>COUNTIFS(data!$C:$C,"other",data!$F:$F,"*distress_memories*")</f>
        <v>0</v>
      </c>
      <c r="G35" s="1" t="s">
        <v>82</v>
      </c>
      <c r="H35" s="1">
        <f t="shared" si="1"/>
        <v>1</v>
      </c>
      <c r="I35" s="1">
        <f>COUNTIFS(data!$C:$C,"male",data!$E:$E,"*hypoglycemia*")</f>
        <v>0</v>
      </c>
      <c r="J35" s="1">
        <f>COUNTIFS(data!$C:$C,"female",data!$E:$E,"*hypoglycemia*")</f>
        <v>1</v>
      </c>
      <c r="K35" s="1">
        <f>COUNTIFS(data!$C:$C,"other",data!$E:$E,"*hypoglycemia*")</f>
        <v>0</v>
      </c>
    </row>
    <row r="36" spans="1:11" x14ac:dyDescent="0.25">
      <c r="A36" s="1" t="s">
        <v>183</v>
      </c>
      <c r="B36" s="1">
        <f t="shared" si="0"/>
        <v>0</v>
      </c>
      <c r="C36" s="1">
        <f>COUNTIFS(data!$C:$C,"male",data!$F:$F,"*delusion*")</f>
        <v>0</v>
      </c>
      <c r="D36" s="1">
        <f>COUNTIFS(data!$C:$C,"female",data!$F:$F,"*delusion*")</f>
        <v>0</v>
      </c>
      <c r="E36" s="1">
        <f>COUNTIFS(data!$C:$C,"other",data!$F:$F,"*delusion*")</f>
        <v>0</v>
      </c>
      <c r="G36" s="1" t="s">
        <v>184</v>
      </c>
      <c r="H36" s="1">
        <f t="shared" si="1"/>
        <v>0</v>
      </c>
      <c r="I36" s="1">
        <f>COUNTIFS(data!$C:$C,"male",data!$E:$E,"*hypertension*")</f>
        <v>0</v>
      </c>
      <c r="J36" s="1">
        <f>COUNTIFS(data!$C:$C,"female",data!$E:$E,"*hypertension*")</f>
        <v>0</v>
      </c>
      <c r="K36" s="1">
        <f>COUNTIFS(data!$C:$C,"other",data!$E:$E,"*hypertension*")</f>
        <v>0</v>
      </c>
    </row>
    <row r="37" spans="1:11" x14ac:dyDescent="0.25">
      <c r="A37" s="1" t="s">
        <v>185</v>
      </c>
      <c r="B37" s="1">
        <f t="shared" si="0"/>
        <v>7</v>
      </c>
      <c r="C37" s="1">
        <f>COUNTIFS(data!$C:$C,"male",data!$F:$F,"*disorganized*")</f>
        <v>3</v>
      </c>
      <c r="D37" s="1">
        <f>COUNTIFS(data!$C:$C,"female",data!$F:$F,"*disorganized*")</f>
        <v>4</v>
      </c>
      <c r="E37" s="1">
        <f>COUNTIFS(data!$C:$C,"other",data!$F:$F,"*disorganized*")</f>
        <v>0</v>
      </c>
      <c r="G37" s="1" t="s">
        <v>186</v>
      </c>
      <c r="H37" s="1">
        <f t="shared" si="1"/>
        <v>4</v>
      </c>
      <c r="I37" s="1">
        <f>COUNTIFS(data!$C:$C,"male",data!$E:$E,"*IBS*")</f>
        <v>0</v>
      </c>
      <c r="J37" s="1">
        <f>COUNTIFS(data!$C:$C,"female",data!$E:$E,"*IBS*")</f>
        <v>4</v>
      </c>
      <c r="K37" s="1">
        <f>COUNTIFS(data!$C:$C,"other",data!$E:$E,"*IBS*")</f>
        <v>0</v>
      </c>
    </row>
    <row r="38" spans="1:11" x14ac:dyDescent="0.25">
      <c r="A38" s="1" t="s">
        <v>187</v>
      </c>
      <c r="B38" s="1">
        <f t="shared" si="0"/>
        <v>2</v>
      </c>
      <c r="C38" s="1">
        <f>COUNTIFS(data!$C:$C,"male",data!$F:$F,"*disoriented*")</f>
        <v>0</v>
      </c>
      <c r="D38" s="1">
        <f>COUNTIFS(data!$C:$C,"female",data!$F:$F,"*disoriented*")</f>
        <v>2</v>
      </c>
      <c r="E38" s="1">
        <f>COUNTIFS(data!$C:$C,"other",data!$F:$F,"*depdisorientedression*")</f>
        <v>0</v>
      </c>
      <c r="G38" s="1" t="s">
        <v>56</v>
      </c>
      <c r="H38" s="1">
        <f t="shared" si="1"/>
        <v>2</v>
      </c>
      <c r="I38" s="1">
        <f>COUNTIFS(data!$C:$C,"male",data!$E:$E,"*IBD*")</f>
        <v>0</v>
      </c>
      <c r="J38" s="1">
        <f>COUNTIFS(data!$C:$C,"female",data!$E:$E,"*IBD*")</f>
        <v>2</v>
      </c>
      <c r="K38" s="1">
        <f>COUNTIFS(data!$C:$C,"other",data!$E:$E,"*IBD*")</f>
        <v>0</v>
      </c>
    </row>
    <row r="39" spans="1:11" x14ac:dyDescent="0.25">
      <c r="A39" s="1" t="s">
        <v>188</v>
      </c>
      <c r="B39" s="1">
        <f t="shared" si="0"/>
        <v>1</v>
      </c>
      <c r="C39" s="1">
        <f>COUNTIFS(data!$C:$C,"male",data!$F:$F,"*depersonalization*")</f>
        <v>0</v>
      </c>
      <c r="D39" s="1">
        <f>COUNTIFS(data!$C:$C,"female",data!$F:$F,"*depersonalization*")</f>
        <v>1</v>
      </c>
      <c r="E39" s="1">
        <f>COUNTIFS(data!$C:$C,"other",data!$F:$F,"*depersonalization*")</f>
        <v>0</v>
      </c>
      <c r="G39" s="1" t="s">
        <v>189</v>
      </c>
      <c r="H39" s="1">
        <f t="shared" si="1"/>
        <v>10</v>
      </c>
      <c r="I39" s="1">
        <f>COUNTIFS(data!$C:$C,"male",data!$E:$E,"*insomnia*")</f>
        <v>3</v>
      </c>
      <c r="J39" s="1">
        <f>COUNTIFS(data!$C:$C,"female",data!$E:$E,"*insomnia*")</f>
        <v>7</v>
      </c>
      <c r="K39" s="1">
        <f>COUNTIFS(data!$C:$C,"other",data!$E:$E,"*insomnia*")</f>
        <v>0</v>
      </c>
    </row>
    <row r="40" spans="1:11" x14ac:dyDescent="0.25">
      <c r="A40" s="1" t="s">
        <v>190</v>
      </c>
      <c r="B40" s="1">
        <f t="shared" si="0"/>
        <v>5</v>
      </c>
      <c r="C40" s="1">
        <f>COUNTIFS(data!$C:$C,"male",data!$F:$F,"*dissociation*")</f>
        <v>0</v>
      </c>
      <c r="D40" s="1">
        <f>COUNTIFS(data!$C:$C,"female",data!$F:$F,"*dissociation*")</f>
        <v>5</v>
      </c>
      <c r="E40" s="1">
        <f>COUNTIFS(data!$C:$C,"other",data!$F:$F,"*dissociation*")</f>
        <v>0</v>
      </c>
      <c r="G40" s="1" t="s">
        <v>47</v>
      </c>
      <c r="H40" s="1">
        <f t="shared" si="1"/>
        <v>18</v>
      </c>
      <c r="I40" s="1">
        <f>COUNTIFS(data!$C:$C,"male",data!$E:$E,"*MDD*")</f>
        <v>2</v>
      </c>
      <c r="J40" s="1">
        <f>COUNTIFS(data!$C:$C,"female",data!$E:$E,"*MDD*")</f>
        <v>16</v>
      </c>
      <c r="K40" s="1">
        <f>COUNTIFS(data!$C:$C,"other",data!$E:$E,"*MDD*")</f>
        <v>0</v>
      </c>
    </row>
    <row r="41" spans="1:11" x14ac:dyDescent="0.25">
      <c r="A41" s="1" t="s">
        <v>191</v>
      </c>
      <c r="B41" s="1">
        <f t="shared" si="0"/>
        <v>2</v>
      </c>
      <c r="C41" s="1">
        <f>COUNTIFS(data!$C:$C,"male",data!$F:$F,"*excess_crying*")</f>
        <v>0</v>
      </c>
      <c r="D41" s="1">
        <f>COUNTIFS(data!$C:$C,"female",data!$F:$F,"*excess_crying*")</f>
        <v>2</v>
      </c>
      <c r="E41" s="1">
        <f>COUNTIFS(data!$C:$C,"other",data!$F:$F,"*excess_crying*")</f>
        <v>0</v>
      </c>
      <c r="G41" s="1" t="s">
        <v>192</v>
      </c>
      <c r="H41" s="1">
        <f t="shared" si="1"/>
        <v>2</v>
      </c>
      <c r="I41" s="1">
        <f>COUNTIFS(data!$C:$C,"male",data!$E:$E,"*OCD*")</f>
        <v>1</v>
      </c>
      <c r="J41" s="1">
        <f>COUNTIFS(data!$C:$C,"female",data!$E:$E,"*OCD*")</f>
        <v>1</v>
      </c>
      <c r="K41" s="1">
        <f>COUNTIFS(data!$C:$C,"other",data!$E:$E,"*OCD*")</f>
        <v>0</v>
      </c>
    </row>
    <row r="42" spans="1:11" x14ac:dyDescent="0.25">
      <c r="A42" s="1" t="s">
        <v>193</v>
      </c>
      <c r="B42" s="1">
        <f t="shared" si="0"/>
        <v>16</v>
      </c>
      <c r="C42" s="1">
        <f>COUNTIFS(data!$C:$C,"male",data!$F:$F,"*excess_worry*")</f>
        <v>2</v>
      </c>
      <c r="D42" s="1">
        <f>COUNTIFS(data!$C:$C,"female",data!$F:$F,"*excess_worry*")</f>
        <v>14</v>
      </c>
      <c r="E42" s="1">
        <f>COUNTIFS(data!$C:$C,"other",data!$F:$F,"*excess_worry*")</f>
        <v>0</v>
      </c>
      <c r="G42" s="1" t="s">
        <v>194</v>
      </c>
      <c r="H42" s="1">
        <f t="shared" si="1"/>
        <v>2</v>
      </c>
      <c r="I42" s="1">
        <f>COUNTIFS(data!$C:$C,"male",data!$E:$E,"*obesity*")</f>
        <v>1</v>
      </c>
      <c r="J42" s="1">
        <f>COUNTIFS(data!$C:$C,"female",data!$E:$E,"*obesity*")</f>
        <v>1</v>
      </c>
      <c r="K42" s="1">
        <f>COUNTIFS(data!$C:$C,"other",data!$E:$E,"*obesity*")</f>
        <v>0</v>
      </c>
    </row>
    <row r="43" spans="1:11" x14ac:dyDescent="0.25">
      <c r="A43" s="1" t="s">
        <v>195</v>
      </c>
      <c r="B43" s="1">
        <f t="shared" si="0"/>
        <v>0</v>
      </c>
      <c r="C43" s="1">
        <f>COUNTIFS(data!$C:$C,"male",data!$F:$F,"*excess_sweat*")</f>
        <v>0</v>
      </c>
      <c r="D43" s="1">
        <f>COUNTIFS(data!$C:$C,"female",data!$F:$F,"*excess_sweat*")</f>
        <v>0</v>
      </c>
      <c r="E43" s="1">
        <f>COUNTIFS(data!$C:$C,"other",data!$F:$F,"*excess_sweat*")</f>
        <v>0</v>
      </c>
      <c r="G43" s="1" t="s">
        <v>196</v>
      </c>
      <c r="H43" s="1">
        <f t="shared" si="1"/>
        <v>2</v>
      </c>
      <c r="I43" s="1">
        <f>COUNTIFS(data!$C:$C,"male",data!$E:$E,"*panic_disorder*")</f>
        <v>0</v>
      </c>
      <c r="J43" s="1">
        <f>COUNTIFS(data!$C:$C,"female",data!$E:$E,"*panic_disorder*")</f>
        <v>1</v>
      </c>
      <c r="K43" s="1">
        <f>COUNTIFS(data!$C:$C,"other",data!$E:$E,"*panic_disorder*")</f>
        <v>1</v>
      </c>
    </row>
    <row r="44" spans="1:11" x14ac:dyDescent="0.25">
      <c r="A44" s="1" t="s">
        <v>197</v>
      </c>
      <c r="B44" s="1">
        <f t="shared" si="0"/>
        <v>7</v>
      </c>
      <c r="C44" s="1">
        <f>COUNTIFS(data!$C:$C,"male",data!$F:$F,"*emptiness*")</f>
        <v>1</v>
      </c>
      <c r="D44" s="1">
        <f>COUNTIFS(data!$C:$C,"female",data!$F:$F,"*emptiness*")</f>
        <v>6</v>
      </c>
      <c r="E44" s="1">
        <f>COUNTIFS(data!$C:$C,"other",data!$F:$F,"*emptiness*")</f>
        <v>0</v>
      </c>
      <c r="G44" s="1" t="s">
        <v>198</v>
      </c>
      <c r="H44" s="1">
        <f t="shared" si="1"/>
        <v>12</v>
      </c>
      <c r="I44" s="1">
        <f>COUNTIFS(data!$C:$C,"male",data!$E:$E,"*PTSD*")</f>
        <v>2</v>
      </c>
      <c r="J44" s="1">
        <f>COUNTIFS(data!$C:$C,"female",data!$E:$E,"*PTSD*")</f>
        <v>9</v>
      </c>
      <c r="K44" s="1">
        <f>COUNTIFS(data!$C:$C,"other",data!$E:$E,"*PTSD*")</f>
        <v>1</v>
      </c>
    </row>
    <row r="45" spans="1:11" x14ac:dyDescent="0.25">
      <c r="A45" s="1" t="s">
        <v>199</v>
      </c>
      <c r="B45" s="1">
        <f t="shared" si="0"/>
        <v>7</v>
      </c>
      <c r="C45" s="1">
        <f>COUNTIFS(data!$C:$C,"male",data!$F:$F,"*escape*")</f>
        <v>0</v>
      </c>
      <c r="D45" s="1">
        <f>COUNTIFS(data!$C:$C,"female",data!$F:$F,"*escape*")</f>
        <v>7</v>
      </c>
      <c r="E45" s="1">
        <f>COUNTIFS(data!$C:$C,"other",data!$F:$F,"*escape*")</f>
        <v>0</v>
      </c>
      <c r="G45" s="1" t="s">
        <v>200</v>
      </c>
      <c r="H45" s="1">
        <f t="shared" si="1"/>
        <v>0</v>
      </c>
      <c r="I45" s="1">
        <f>COUNTIFS(data!$C:$C,"male",data!$E:$E,"*pelvic_inflam_disorder*")</f>
        <v>0</v>
      </c>
      <c r="J45" s="1">
        <f>COUNTIFS(data!$C:$C,"female",data!$E:$E,"*pelvic_inflam_disorder*")</f>
        <v>0</v>
      </c>
      <c r="K45" s="1">
        <f>COUNTIFS(data!$C:$C,"other",data!$E:$E,"*pelvic_inflam_disorder*")</f>
        <v>0</v>
      </c>
    </row>
    <row r="46" spans="1:11" x14ac:dyDescent="0.25">
      <c r="A46" s="1" t="s">
        <v>201</v>
      </c>
      <c r="B46" s="1">
        <f t="shared" si="0"/>
        <v>0</v>
      </c>
      <c r="C46" s="1">
        <f>COUNTIFS(data!$C:$C,"male",data!$F:$F,"*excess_dieting*")</f>
        <v>0</v>
      </c>
      <c r="D46" s="1">
        <f>COUNTIFS(data!$C:$C,"female",data!$F:$F,"*excess_dieting*")</f>
        <v>0</v>
      </c>
      <c r="E46" s="1">
        <f>COUNTIFS(data!$C:$C,"other",data!$F:$F,"*excess_dieting*")</f>
        <v>0</v>
      </c>
      <c r="G46" s="1" t="s">
        <v>202</v>
      </c>
      <c r="H46" s="1">
        <f t="shared" si="1"/>
        <v>2</v>
      </c>
      <c r="I46" s="1">
        <f>COUNTIFS(data!$C:$C,"male",data!$E:$E,"*PCOS*")</f>
        <v>0</v>
      </c>
      <c r="J46" s="1">
        <f>COUNTIFS(data!$C:$C,"female",data!$E:$E,"*PCOS*")</f>
        <v>2</v>
      </c>
      <c r="K46" s="1">
        <f>COUNTIFS(data!$C:$C,"other",data!$E:$E,"*PCOS*")</f>
        <v>0</v>
      </c>
    </row>
    <row r="47" spans="1:11" x14ac:dyDescent="0.25">
      <c r="A47" s="1" t="s">
        <v>203</v>
      </c>
      <c r="B47" s="1">
        <f t="shared" si="0"/>
        <v>3</v>
      </c>
      <c r="C47" s="1">
        <f>COUNTIFS(data!$C:$C,"male",data!$F:$F,"*fidget*")</f>
        <v>0</v>
      </c>
      <c r="D47" s="1">
        <f>COUNTIFS(data!$C:$C,"female",data!$F:$F,"*fidget*")</f>
        <v>2</v>
      </c>
      <c r="E47" s="1">
        <f>COUNTIFS(data!$C:$C,"other",data!$F:$F,"*fidget*")</f>
        <v>1</v>
      </c>
      <c r="G47" s="1" t="s">
        <v>204</v>
      </c>
      <c r="H47" s="1">
        <f t="shared" si="1"/>
        <v>1</v>
      </c>
      <c r="I47" s="1">
        <f>COUNTIFS(data!$C:$C,"male",data!$E:$E,"*phobia_unsp*")</f>
        <v>0</v>
      </c>
      <c r="J47" s="1">
        <f>COUNTIFS(data!$C:$C,"female",data!$E:$E,"*phobia_unsp*")</f>
        <v>1</v>
      </c>
      <c r="K47" s="1">
        <f>COUNTIFS(data!$C:$C,"other",data!$E:$E,"*phobia_unsp*")</f>
        <v>0</v>
      </c>
    </row>
    <row r="48" spans="1:11" x14ac:dyDescent="0.25">
      <c r="A48" s="1" t="s">
        <v>205</v>
      </c>
      <c r="B48" s="1">
        <f t="shared" si="0"/>
        <v>11</v>
      </c>
      <c r="C48" s="1">
        <f>COUNTIFS(data!$C:$C,"male",data!$F:$F,"*fear_future*")</f>
        <v>4</v>
      </c>
      <c r="D48" s="1">
        <f>COUNTIFS(data!$C:$C,"female",data!$F:$F,"*fear_future*")</f>
        <v>7</v>
      </c>
      <c r="E48" s="1">
        <f>COUNTIFS(data!$C:$C,"other",data!$F:$F,"*fear_future*")</f>
        <v>0</v>
      </c>
      <c r="G48" s="1" t="s">
        <v>206</v>
      </c>
      <c r="H48" s="1">
        <f t="shared" si="1"/>
        <v>3</v>
      </c>
      <c r="I48" s="1">
        <f>COUNTIFS(data!$C:$C,"male",data!$E:$E,"*substance_abuse*")</f>
        <v>1</v>
      </c>
      <c r="J48" s="1">
        <f>COUNTIFS(data!$C:$C,"female",data!$E:$E,"*substance_abuse*")</f>
        <v>2</v>
      </c>
      <c r="K48" s="1">
        <f>COUNTIFS(data!$C:$C,"other",data!$E:$E,"*substance_abuse*")</f>
        <v>0</v>
      </c>
    </row>
    <row r="49" spans="1:11" x14ac:dyDescent="0.25">
      <c r="A49" s="1" t="s">
        <v>207</v>
      </c>
      <c r="B49" s="1">
        <f t="shared" si="0"/>
        <v>4</v>
      </c>
      <c r="C49" s="1">
        <f>COUNTIFS(data!$C:$C,"male",data!$F:$F,"*dfreq_sickepression*")</f>
        <v>0</v>
      </c>
      <c r="D49" s="1">
        <f>COUNTIFS(data!$C:$C,"female",data!$F:$F,"*freq_sick*")</f>
        <v>4</v>
      </c>
      <c r="E49" s="1">
        <f>COUNTIFS(data!$C:$C,"other",data!$F:$F,"*freq_sick*")</f>
        <v>0</v>
      </c>
      <c r="G49" s="1" t="s">
        <v>15</v>
      </c>
      <c r="H49" s="1">
        <f t="shared" si="1"/>
        <v>1</v>
      </c>
      <c r="I49" s="1">
        <f>COUNTIFS(data!$C:$C,"male",data!$E:$E,"*schizophrenia*")</f>
        <v>1</v>
      </c>
      <c r="J49" s="1">
        <f>COUNTIFS(data!$C:$C,"female",data!$E:$E,"*schizophrenia*")</f>
        <v>0</v>
      </c>
      <c r="K49" s="1">
        <f>COUNTIFS(data!$C:$C,"other",data!$E:$E,"*schizophrenia*")</f>
        <v>0</v>
      </c>
    </row>
    <row r="50" spans="1:11" x14ac:dyDescent="0.25">
      <c r="A50" s="1" t="s">
        <v>208</v>
      </c>
      <c r="B50" s="1">
        <f t="shared" si="0"/>
        <v>27</v>
      </c>
      <c r="C50" s="1">
        <f>COUNTIFS(data!$C:$C,"male",data!$F:$F,"*fatigue*")</f>
        <v>3</v>
      </c>
      <c r="D50" s="1">
        <f>COUNTIFS(data!$C:$C,"female",data!$F:$F,"*fatigue*")</f>
        <v>24</v>
      </c>
      <c r="E50" s="1">
        <f>COUNTIFS(data!$C:$C,"other",data!$F:$F,"*fatigue*")</f>
        <v>0</v>
      </c>
      <c r="G50" s="1" t="s">
        <v>209</v>
      </c>
      <c r="H50" s="1">
        <f t="shared" si="1"/>
        <v>0</v>
      </c>
      <c r="I50" s="1">
        <f>COUNTIFS(data!$C:$C,"male",data!$E:$E,"*social_phobia*")</f>
        <v>0</v>
      </c>
      <c r="J50" s="1">
        <f>COUNTIFS(data!$C:$C,"female",data!$E:$E,"*social_phobia*")</f>
        <v>0</v>
      </c>
      <c r="K50" s="1">
        <f>COUNTIFS(data!$C:$C,"other",data!$E:$E,"*social_phobia*")</f>
        <v>0</v>
      </c>
    </row>
    <row r="51" spans="1:11" x14ac:dyDescent="0.25">
      <c r="A51" s="1" t="s">
        <v>210</v>
      </c>
      <c r="B51" s="1">
        <f t="shared" si="0"/>
        <v>2</v>
      </c>
      <c r="C51" s="1">
        <f>COUNTIFS(data!$C:$C,"male",data!$F:$F,"*fear_gen*")</f>
        <v>0</v>
      </c>
      <c r="D51" s="1">
        <f>COUNTIFS(data!$C:$C,"female",data!$F:$F,"*fear_gen*")</f>
        <v>2</v>
      </c>
      <c r="E51" s="1">
        <f>COUNTIFS(data!$C:$C,"other",data!$F:$F,"*fear_gen*")</f>
        <v>0</v>
      </c>
      <c r="G51" s="1" t="s">
        <v>211</v>
      </c>
      <c r="H51" s="1">
        <f t="shared" si="1"/>
        <v>2</v>
      </c>
      <c r="I51" s="1">
        <f>COUNTIFS(data!$C:$C,"male",data!$E:$E,"*sexual_disorder*")</f>
        <v>0</v>
      </c>
      <c r="J51" s="1">
        <f>COUNTIFS(data!$C:$C,"female",data!$E:$E,"*sexual_disorder*")</f>
        <v>2</v>
      </c>
      <c r="K51" s="1">
        <f>COUNTIFS(data!$C:$C,"other",data!$E:$E,"*sexual_disorder*")</f>
        <v>0</v>
      </c>
    </row>
    <row r="52" spans="1:11" x14ac:dyDescent="0.25">
      <c r="A52" s="1" t="s">
        <v>212</v>
      </c>
      <c r="B52" s="1">
        <f t="shared" si="0"/>
        <v>0</v>
      </c>
      <c r="C52" s="1">
        <f>COUNTIFS(data!$C:$C,"male",data!$F:$F,"*fear_leave_home*")</f>
        <v>0</v>
      </c>
      <c r="D52" s="1">
        <f>COUNTIFS(data!$C:$C,"female",data!$F:$F,"*fear_leave_home*")</f>
        <v>0</v>
      </c>
      <c r="E52" s="1">
        <f>COUNTIFS(data!$C:$C,"other",data!$F:$F,"*fear_leave_home*")</f>
        <v>0</v>
      </c>
      <c r="G52" s="1" t="s">
        <v>51</v>
      </c>
      <c r="H52" s="1">
        <f t="shared" si="1"/>
        <v>13</v>
      </c>
      <c r="I52" s="1">
        <f>COUNTIFS(data!$C:$C,"male",data!$E:$E,"*other*")</f>
        <v>3</v>
      </c>
      <c r="J52" s="1">
        <f>COUNTIFS(data!$C:$C,"female",data!$E:$E,"*other*")</f>
        <v>10</v>
      </c>
      <c r="K52" s="1">
        <f>COUNTIFS(data!$C:$C,"other",data!$E:$E,"*other*")</f>
        <v>0</v>
      </c>
    </row>
    <row r="53" spans="1:11" x14ac:dyDescent="0.25">
      <c r="A53" s="1" t="s">
        <v>213</v>
      </c>
      <c r="B53" s="1">
        <f t="shared" si="0"/>
        <v>1</v>
      </c>
      <c r="C53" s="1">
        <f>COUNTIFS(data!$C:$C,"male",data!$F:$F,"*fear_crowds*")</f>
        <v>0</v>
      </c>
      <c r="D53" s="1">
        <f>COUNTIFS(data!$C:$C,"female",data!$F:$F,"*fear_crowds*")</f>
        <v>0</v>
      </c>
      <c r="E53" s="1">
        <f>COUNTIFS(data!$C:$C,"other",data!$F:$F,"*fear_crowds*")</f>
        <v>1</v>
      </c>
      <c r="K53" s="6"/>
    </row>
    <row r="54" spans="1:11" x14ac:dyDescent="0.25">
      <c r="A54" s="1" t="s">
        <v>214</v>
      </c>
      <c r="B54" s="1">
        <f t="shared" si="0"/>
        <v>8</v>
      </c>
      <c r="C54" s="1">
        <f>COUNTIFS(data!$C:$C,"male",data!$F:$F,"*fear_judgment*")</f>
        <v>0</v>
      </c>
      <c r="D54" s="1">
        <f>COUNTIFS(data!$C:$C,"female",data!$F:$F,"*fear_judgment*")</f>
        <v>7</v>
      </c>
      <c r="E54" s="1">
        <f>COUNTIFS(data!$C:$C,"other",data!$F:$F,"*fear_judgment*")</f>
        <v>1</v>
      </c>
      <c r="K54" s="6"/>
    </row>
    <row r="55" spans="1:11" x14ac:dyDescent="0.25">
      <c r="A55" s="1" t="s">
        <v>215</v>
      </c>
      <c r="B55" s="1">
        <f t="shared" si="0"/>
        <v>2</v>
      </c>
      <c r="C55" s="1">
        <f>COUNTIFS(data!$C:$C,"male",data!$F:$F,"*flashbacks*")</f>
        <v>0</v>
      </c>
      <c r="D55" s="1">
        <f>COUNTIFS(data!$C:$C,"female",data!$F:$F,"*flashbacks*")</f>
        <v>2</v>
      </c>
      <c r="E55" s="1">
        <f>COUNTIFS(data!$C:$C,"other",data!$F:$F,"*flashbacks*")</f>
        <v>0</v>
      </c>
      <c r="K55" s="6"/>
    </row>
    <row r="56" spans="1:11" x14ac:dyDescent="0.25">
      <c r="A56" s="1" t="s">
        <v>216</v>
      </c>
      <c r="B56" s="1">
        <f t="shared" si="0"/>
        <v>8</v>
      </c>
      <c r="C56" s="1">
        <f>COUNTIFS(data!$C:$C,"male",data!$F:$F,"*forgetful*")</f>
        <v>3</v>
      </c>
      <c r="D56" s="1">
        <f>COUNTIFS(data!$C:$C,"female",data!$F:$F,"*forgetful*")</f>
        <v>5</v>
      </c>
      <c r="E56" s="1">
        <f>COUNTIFS(data!$C:$C,"other",data!$F:$F,"*forgetful*")</f>
        <v>0</v>
      </c>
      <c r="K56" s="6"/>
    </row>
    <row r="57" spans="1:11" x14ac:dyDescent="0.25">
      <c r="A57" s="1" t="s">
        <v>217</v>
      </c>
      <c r="B57" s="1">
        <f t="shared" si="0"/>
        <v>4</v>
      </c>
      <c r="C57" s="1">
        <f>COUNTIFS(data!$C:$C,"male",data!$F:$F,"*depreshypervigilancesion*")</f>
        <v>0</v>
      </c>
      <c r="D57" s="1">
        <f>COUNTIFS(data!$C:$C,"female",data!$F:$F,"*hypervigilance*")</f>
        <v>3</v>
      </c>
      <c r="E57" s="1">
        <f>COUNTIFS(data!$C:$C,"other",data!$F:$F,"*hypervigilance*")</f>
        <v>1</v>
      </c>
    </row>
    <row r="58" spans="1:11" x14ac:dyDescent="0.25">
      <c r="A58" s="1" t="s">
        <v>218</v>
      </c>
      <c r="B58" s="1">
        <f t="shared" si="0"/>
        <v>13</v>
      </c>
      <c r="C58" s="1">
        <f>COUNTIFS(data!$C:$C,"male",data!$F:$F,"*headaches*")</f>
        <v>0</v>
      </c>
      <c r="D58" s="1">
        <f>COUNTIFS(data!$C:$C,"female",data!$F:$F,"*headaches*")</f>
        <v>13</v>
      </c>
      <c r="E58" s="1">
        <f>COUNTIFS(data!$C:$C,"other",data!$F:$F,"*headaches*")</f>
        <v>0</v>
      </c>
    </row>
    <row r="59" spans="1:11" x14ac:dyDescent="0.25">
      <c r="A59" s="1" t="s">
        <v>219</v>
      </c>
      <c r="B59" s="1">
        <f t="shared" si="0"/>
        <v>9</v>
      </c>
      <c r="C59" s="1">
        <f>COUNTIFS(data!$C:$C,"male",data!$F:$F,"*hopelessness*")</f>
        <v>2</v>
      </c>
      <c r="D59" s="1">
        <f>COUNTIFS(data!$C:$C,"female",data!$F:$F,"*hopelessness*")</f>
        <v>7</v>
      </c>
      <c r="E59" s="1">
        <f>COUNTIFS(data!$C:$C,"other",data!$F:$F,"*hopelessness*")</f>
        <v>0</v>
      </c>
    </row>
    <row r="60" spans="1:11" x14ac:dyDescent="0.25">
      <c r="A60" s="1" t="s">
        <v>220</v>
      </c>
      <c r="B60" s="1">
        <f t="shared" si="0"/>
        <v>0</v>
      </c>
      <c r="C60" s="1">
        <f>COUNTIFS(data!$C:$C,"male",data!$F:$F,"*hyperactive*")</f>
        <v>0</v>
      </c>
      <c r="D60" s="1">
        <f>COUNTIFS(data!$C:$C,"female",data!$F:$F,"*hyperactive*")</f>
        <v>0</v>
      </c>
      <c r="E60" s="1">
        <f>COUNTIFS(data!$C:$C,"other",data!$F:$F,"*hyperactive*")</f>
        <v>0</v>
      </c>
    </row>
    <row r="61" spans="1:11" x14ac:dyDescent="0.25">
      <c r="A61" s="1" t="s">
        <v>221</v>
      </c>
      <c r="B61" s="1">
        <f t="shared" si="0"/>
        <v>0</v>
      </c>
      <c r="C61" s="1">
        <f>COUNTIFS(data!$C:$C,"male",data!$F:$F,"*hypersexual*")</f>
        <v>0</v>
      </c>
      <c r="D61" s="1">
        <f>COUNTIFS(data!$C:$C,"female",data!$F:$F,"*hypersexual*")</f>
        <v>0</v>
      </c>
      <c r="E61" s="1">
        <f>COUNTIFS(data!$C:$C,"other",data!$F:$F,"*hypersexual*")</f>
        <v>0</v>
      </c>
    </row>
    <row r="62" spans="1:11" x14ac:dyDescent="0.25">
      <c r="A62" s="1" t="s">
        <v>222</v>
      </c>
      <c r="B62" s="1">
        <f t="shared" si="0"/>
        <v>0</v>
      </c>
      <c r="C62" s="1">
        <f>COUNTIFS(data!$C:$C,"male",data!$F:$F,"*hallucinations*")</f>
        <v>0</v>
      </c>
      <c r="D62" s="1">
        <f>COUNTIFS(data!$C:$C,"female",data!$F:$F,"*hallucinations*")</f>
        <v>0</v>
      </c>
      <c r="E62" s="1">
        <f>COUNTIFS(data!$C:$C,"other",data!$F:$F,"*hallucinations*")</f>
        <v>0</v>
      </c>
    </row>
    <row r="63" spans="1:11" x14ac:dyDescent="0.25">
      <c r="A63" s="1" t="s">
        <v>189</v>
      </c>
      <c r="B63" s="1">
        <f t="shared" si="0"/>
        <v>12</v>
      </c>
      <c r="C63" s="1">
        <f>COUNTIFS(data!$C:$C,"male",data!$F:$F,"*insomnia*")</f>
        <v>2</v>
      </c>
      <c r="D63" s="1">
        <f>COUNTIFS(data!$C:$C,"female",data!$F:$F,"*insomnia*")</f>
        <v>10</v>
      </c>
      <c r="E63" s="1">
        <f>COUNTIFS(data!$C:$C,"other",data!$F:$F,"*insomnia*")</f>
        <v>0</v>
      </c>
    </row>
    <row r="64" spans="1:11" x14ac:dyDescent="0.25">
      <c r="A64" s="1" t="s">
        <v>223</v>
      </c>
      <c r="B64" s="1">
        <f t="shared" si="0"/>
        <v>11</v>
      </c>
      <c r="C64" s="1">
        <f>COUNTIFS(data!$C:$C,"male",data!$F:$F,"*irritable*")</f>
        <v>1</v>
      </c>
      <c r="D64" s="1">
        <f>COUNTIFS(data!$C:$C,"female",data!$F:$F,"*irritable*")</f>
        <v>10</v>
      </c>
      <c r="E64" s="1">
        <f>COUNTIFS(data!$C:$C,"other",data!$F:$F,"*irritable*")</f>
        <v>0</v>
      </c>
    </row>
    <row r="65" spans="1:5" x14ac:dyDescent="0.25">
      <c r="A65" s="1" t="s">
        <v>224</v>
      </c>
      <c r="B65" s="1">
        <f t="shared" si="0"/>
        <v>3</v>
      </c>
      <c r="C65" s="1">
        <f>COUNTIFS(data!$C:$C,"male",data!$F:$F,"*intrusive_thoughts*")</f>
        <v>0</v>
      </c>
      <c r="D65" s="1">
        <f>COUNTIFS(data!$C:$C,"female",data!$F:$F,"*intrusive_thoughts*")</f>
        <v>3</v>
      </c>
      <c r="E65" s="1">
        <f>COUNTIFS(data!$C:$C,"other",data!$F:$F,"*intrusive_thoughts*")</f>
        <v>0</v>
      </c>
    </row>
    <row r="66" spans="1:5" x14ac:dyDescent="0.25">
      <c r="A66" s="1" t="s">
        <v>225</v>
      </c>
      <c r="B66" s="1">
        <f t="shared" si="0"/>
        <v>2</v>
      </c>
      <c r="C66" s="1">
        <f>COUNTIFS(data!$C:$C,"male",data!$F:$F,"*impulsive*")</f>
        <v>0</v>
      </c>
      <c r="D66" s="1">
        <f>COUNTIFS(data!$C:$C,"female",data!$F:$F,"*impulsive*")</f>
        <v>2</v>
      </c>
      <c r="E66" s="1">
        <f>COUNTIFS(data!$C:$C,"other",data!$F:$F,"*impulsive*")</f>
        <v>0</v>
      </c>
    </row>
    <row r="67" spans="1:5" x14ac:dyDescent="0.25">
      <c r="A67" s="1" t="s">
        <v>226</v>
      </c>
      <c r="B67" s="1">
        <f t="shared" si="0"/>
        <v>13</v>
      </c>
      <c r="C67" s="1">
        <f>COUNTIFS(data!$C:$C,"male",data!$F:$F,"*indecisive*")</f>
        <v>1</v>
      </c>
      <c r="D67" s="1">
        <f>COUNTIFS(data!$C:$C,"female",data!$F:$F,"*indecisive*")</f>
        <v>12</v>
      </c>
      <c r="E67" s="1">
        <f>COUNTIFS(data!$C:$C,"other",data!$F:$F,"*indecisive*")</f>
        <v>0</v>
      </c>
    </row>
    <row r="68" spans="1:5" x14ac:dyDescent="0.25">
      <c r="A68" s="1" t="s">
        <v>227</v>
      </c>
      <c r="B68" s="1">
        <f t="shared" ref="B68:B110" si="2">SUM(C68:E68)</f>
        <v>8</v>
      </c>
      <c r="C68" s="1">
        <f>COUNTIFS(data!$C:$C,"male",data!$F:$F,"*impaired_memory*")</f>
        <v>2</v>
      </c>
      <c r="D68" s="1">
        <f>COUNTIFS(data!$C:$C,"female",data!$F:$F,"*impaired_memory*")</f>
        <v>6</v>
      </c>
      <c r="E68" s="1">
        <f>COUNTIFS(data!$C:$C,"other",data!$F:$F,"*impaired_memory*")</f>
        <v>0</v>
      </c>
    </row>
    <row r="69" spans="1:5" x14ac:dyDescent="0.25">
      <c r="A69" s="1" t="s">
        <v>228</v>
      </c>
      <c r="B69" s="1">
        <f t="shared" si="2"/>
        <v>8</v>
      </c>
      <c r="C69" s="1">
        <f>COUNTIFS(data!$C:$C,"male",data!$F:$F,"*anhedonia*")</f>
        <v>2</v>
      </c>
      <c r="D69" s="1">
        <f>COUNTIFS(data!$C:$C,"female",data!$F:$F,"*anhedonia*")</f>
        <v>6</v>
      </c>
      <c r="E69" s="1">
        <f>COUNTIFS(data!$C:$C,"other",data!$F:$F,"*anhedonia*")</f>
        <v>0</v>
      </c>
    </row>
    <row r="70" spans="1:5" x14ac:dyDescent="0.25">
      <c r="A70" s="1" t="s">
        <v>229</v>
      </c>
      <c r="B70" s="1">
        <f t="shared" si="2"/>
        <v>0</v>
      </c>
      <c r="C70" s="1">
        <f>COUNTIFS(data!$C:$C,"male",data!$F:$F,"*lying*")</f>
        <v>0</v>
      </c>
      <c r="D70" s="1">
        <f>COUNTIFS(data!$C:$C,"female",data!$F:$F,"*lying*")</f>
        <v>0</v>
      </c>
      <c r="E70" s="1">
        <f>COUNTIFS(data!$C:$C,"other",data!$F:$F,"*lying*")</f>
        <v>0</v>
      </c>
    </row>
    <row r="71" spans="1:5" x14ac:dyDescent="0.25">
      <c r="A71" s="1" t="s">
        <v>230</v>
      </c>
      <c r="B71" s="1">
        <f t="shared" si="2"/>
        <v>11</v>
      </c>
      <c r="C71" s="1">
        <f>COUNTIFS(data!$C:$C,"male",data!$F:$F,"*low_self_esteem*")</f>
        <v>2</v>
      </c>
      <c r="D71" s="1">
        <f>COUNTIFS(data!$C:$C,"female",data!$F:$F,"*low_self_esteem*")</f>
        <v>9</v>
      </c>
      <c r="E71" s="1">
        <f>COUNTIFS(data!$C:$C,"other",data!$F:$F,"*low_self_esteem*")</f>
        <v>0</v>
      </c>
    </row>
    <row r="72" spans="1:5" x14ac:dyDescent="0.25">
      <c r="A72" s="1" t="s">
        <v>231</v>
      </c>
      <c r="B72" s="1">
        <f t="shared" si="2"/>
        <v>0</v>
      </c>
      <c r="C72" s="1">
        <f>COUNTIFS(data!$C:$C,"male",data!$F:$F,"*muscle tension*")</f>
        <v>0</v>
      </c>
      <c r="D72" s="1">
        <f>COUNTIFS(data!$C:$C,"female",data!$F:$F,"*muscle tension*")</f>
        <v>0</v>
      </c>
      <c r="E72" s="1">
        <f>COUNTIFS(data!$C:$C,"other",data!$F:$F,"*muscle tension*")</f>
        <v>0</v>
      </c>
    </row>
    <row r="73" spans="1:5" x14ac:dyDescent="0.25">
      <c r="A73" s="1" t="s">
        <v>232</v>
      </c>
      <c r="B73" s="1">
        <f t="shared" si="2"/>
        <v>1</v>
      </c>
      <c r="C73" s="1">
        <f>COUNTIFS(data!$C:$C,"male",data!$F:$F,"*mania*")</f>
        <v>0</v>
      </c>
      <c r="D73" s="1">
        <f>COUNTIFS(data!$C:$C,"female",data!$F:$F,"*mania*")</f>
        <v>1</v>
      </c>
      <c r="E73" s="1">
        <f>COUNTIFS(data!$C:$C,"other",data!$F:$F,"*mania*")</f>
        <v>0</v>
      </c>
    </row>
    <row r="74" spans="1:5" x14ac:dyDescent="0.25">
      <c r="A74" s="1" t="s">
        <v>233</v>
      </c>
      <c r="B74" s="1">
        <f t="shared" si="2"/>
        <v>8</v>
      </c>
      <c r="C74" s="1">
        <f>COUNTIFS(data!$C:$C,"male",data!$F:$F,"*nervous*")</f>
        <v>2</v>
      </c>
      <c r="D74" s="1">
        <f>COUNTIFS(data!$C:$C,"female",data!$F:$F,"*nervous*")</f>
        <v>6</v>
      </c>
      <c r="E74" s="1">
        <f>COUNTIFS(data!$C:$C,"other",data!$F:$F,"*nervous*")</f>
        <v>0</v>
      </c>
    </row>
    <row r="75" spans="1:5" x14ac:dyDescent="0.25">
      <c r="A75" s="1" t="s">
        <v>234</v>
      </c>
      <c r="B75" s="1">
        <f t="shared" si="2"/>
        <v>4</v>
      </c>
      <c r="C75" s="1">
        <f>COUNTIFS(data!$C:$C,"male",data!$F:$F,"*numbing*")</f>
        <v>1</v>
      </c>
      <c r="D75" s="1">
        <f>COUNTIFS(data!$C:$C,"female",data!$F:$F,"*numbing*")</f>
        <v>1</v>
      </c>
      <c r="E75" s="1">
        <f>COUNTIFS(data!$C:$C,"other",data!$F:$F,"*numbing*")</f>
        <v>2</v>
      </c>
    </row>
    <row r="76" spans="1:5" x14ac:dyDescent="0.25">
      <c r="A76" s="1" t="s">
        <v>235</v>
      </c>
      <c r="B76" s="1">
        <f t="shared" si="2"/>
        <v>6</v>
      </c>
      <c r="C76" s="1">
        <f>COUNTIFS(data!$C:$C,"male",data!$F:$F,"*neglect_respon*")</f>
        <v>3</v>
      </c>
      <c r="D76" s="1">
        <f>COUNTIFS(data!$C:$C,"female",data!$F:$F,"*neglect_respon*")</f>
        <v>3</v>
      </c>
      <c r="E76" s="1">
        <f>COUNTIFS(data!$C:$C,"other",data!$F:$F,"*neglect_respon*")</f>
        <v>0</v>
      </c>
    </row>
    <row r="77" spans="1:5" x14ac:dyDescent="0.25">
      <c r="A77" s="1" t="s">
        <v>236</v>
      </c>
      <c r="B77" s="1">
        <f t="shared" si="2"/>
        <v>4</v>
      </c>
      <c r="C77" s="1">
        <f>COUNTIFS(data!$C:$C,"male",data!$F:$F,"*not_eating*")</f>
        <v>0</v>
      </c>
      <c r="D77" s="1">
        <f>COUNTIFS(data!$C:$C,"female",data!$F:$F,"*not_eating*")</f>
        <v>3</v>
      </c>
      <c r="E77" s="1">
        <f>COUNTIFS(data!$C:$C,"other",data!$F:$F,"*not_eating*")</f>
        <v>1</v>
      </c>
    </row>
    <row r="78" spans="1:5" x14ac:dyDescent="0.25">
      <c r="A78" s="1" t="s">
        <v>237</v>
      </c>
      <c r="B78" s="1">
        <f t="shared" si="2"/>
        <v>29</v>
      </c>
      <c r="C78" s="1">
        <f>COUNTIFS(data!$C:$C,"male",data!$F:$F,"*overwhelmed*")</f>
        <v>6</v>
      </c>
      <c r="D78" s="1">
        <f>COUNTIFS(data!$C:$C,"female",data!$F:$F,"*overwhelmed*")</f>
        <v>21</v>
      </c>
      <c r="E78" s="1">
        <f>COUNTIFS(data!$C:$C,"other",data!$F:$F,"*overwhelmed*")</f>
        <v>2</v>
      </c>
    </row>
    <row r="79" spans="1:5" x14ac:dyDescent="0.25">
      <c r="A79" s="1" t="s">
        <v>238</v>
      </c>
      <c r="B79" s="1">
        <f t="shared" si="2"/>
        <v>3</v>
      </c>
      <c r="C79" s="1">
        <f>COUNTIFS(data!$C:$C,"male",data!$F:$F,"*obsessions*")</f>
        <v>0</v>
      </c>
      <c r="D79" s="1">
        <f>COUNTIFS(data!$C:$C,"female",data!$F:$F,"*obsessions*")</f>
        <v>3</v>
      </c>
      <c r="E79" s="1">
        <f>COUNTIFS(data!$C:$C,"other",data!$F:$F,"*obsessions*")</f>
        <v>0</v>
      </c>
    </row>
    <row r="80" spans="1:5" x14ac:dyDescent="0.25">
      <c r="A80" s="1" t="s">
        <v>239</v>
      </c>
      <c r="B80" s="1">
        <f t="shared" si="2"/>
        <v>3</v>
      </c>
      <c r="C80" s="1">
        <f>COUNTIFS(data!$C:$C,"male",data!$F:$F,"*obsessions_weight*")</f>
        <v>0</v>
      </c>
      <c r="D80" s="1">
        <f>COUNTIFS(data!$C:$C,"female",data!$F:$F,"*obsessions_weight*")</f>
        <v>3</v>
      </c>
      <c r="E80" s="1">
        <f>COUNTIFS(data!$C:$C,"other",data!$F:$F,"*obsessions_weight*")</f>
        <v>0</v>
      </c>
    </row>
    <row r="81" spans="1:5" x14ac:dyDescent="0.25">
      <c r="A81" s="1" t="s">
        <v>240</v>
      </c>
      <c r="B81" s="1">
        <f t="shared" si="2"/>
        <v>1</v>
      </c>
      <c r="C81" s="1">
        <f>COUNTIFS(data!$C:$C,"male",data!$F:$F,"*panic_attack*")</f>
        <v>0</v>
      </c>
      <c r="D81" s="1">
        <f>COUNTIFS(data!$C:$C,"female",data!$F:$F,"*panic_attack*")</f>
        <v>1</v>
      </c>
      <c r="E81" s="1">
        <f>COUNTIFS(data!$C:$C,"other",data!$F:$F,"*panic_attack*")</f>
        <v>0</v>
      </c>
    </row>
    <row r="82" spans="1:5" x14ac:dyDescent="0.25">
      <c r="A82" s="1" t="s">
        <v>241</v>
      </c>
      <c r="B82" s="1">
        <f t="shared" si="2"/>
        <v>4</v>
      </c>
      <c r="C82" s="1">
        <f>COUNTIFS(data!$C:$C,"male",data!$F:$F,"*pessimism*")</f>
        <v>2</v>
      </c>
      <c r="D82" s="1">
        <f>COUNTIFS(data!$C:$C,"female",data!$F:$F,"*pessimism*")</f>
        <v>2</v>
      </c>
      <c r="E82" s="1">
        <f>COUNTIFS(data!$C:$C,"other",data!$F:$F,"*pessimism*")</f>
        <v>0</v>
      </c>
    </row>
    <row r="83" spans="1:5" x14ac:dyDescent="0.25">
      <c r="A83" s="1" t="s">
        <v>242</v>
      </c>
      <c r="B83" s="1">
        <f t="shared" si="2"/>
        <v>10</v>
      </c>
      <c r="C83" s="1">
        <f>COUNTIFS(data!$C:$C,"male",data!$F:$F,"*productivity*")</f>
        <v>2</v>
      </c>
      <c r="D83" s="1">
        <f>COUNTIFS(data!$C:$C,"female",data!$F:$F,"*productivity*")</f>
        <v>7</v>
      </c>
      <c r="E83" s="1">
        <f>COUNTIFS(data!$C:$C,"other",data!$F:$F,"*productivity*")</f>
        <v>1</v>
      </c>
    </row>
    <row r="84" spans="1:5" x14ac:dyDescent="0.25">
      <c r="A84" s="1" t="s">
        <v>243</v>
      </c>
      <c r="B84" s="1">
        <f t="shared" si="2"/>
        <v>0</v>
      </c>
      <c r="C84" s="1">
        <f>COUNTIFS(data!$C:$C,"male",data!$F:$F,"*paranoia*")</f>
        <v>0</v>
      </c>
      <c r="D84" s="1">
        <f>COUNTIFS(data!$C:$C,"female",data!$F:$F,"*paranoia*")</f>
        <v>0</v>
      </c>
      <c r="E84" s="1">
        <f>COUNTIFS(data!$C:$C,"other",data!$F:$F,"*paranoia*")</f>
        <v>0</v>
      </c>
    </row>
    <row r="85" spans="1:5" x14ac:dyDescent="0.25">
      <c r="A85" s="1" t="s">
        <v>244</v>
      </c>
      <c r="B85" s="1">
        <f t="shared" si="2"/>
        <v>0</v>
      </c>
      <c r="C85" s="1">
        <f>COUNTIFS(data!$C:$C,"male",data!$F:$F,"*nightmares*")</f>
        <v>0</v>
      </c>
      <c r="D85" s="1">
        <f>COUNTIFS(data!$C:$C,"female",data!$F:$F,"*nightmares*")</f>
        <v>0</v>
      </c>
      <c r="E85" s="1">
        <f>COUNTIFS(data!$C:$C,"other",data!$F:$F,"*nightmares*")</f>
        <v>0</v>
      </c>
    </row>
    <row r="86" spans="1:5" x14ac:dyDescent="0.25">
      <c r="A86" s="1" t="s">
        <v>245</v>
      </c>
      <c r="B86" s="1">
        <f t="shared" si="2"/>
        <v>7</v>
      </c>
      <c r="C86" s="1">
        <f>COUNTIFS(data!$C:$C,"male",data!$F:$F,"*restlessness*")</f>
        <v>0</v>
      </c>
      <c r="D86" s="1">
        <f>COUNTIFS(data!$C:$C,"female",data!$F:$F,"*restlessness*")</f>
        <v>7</v>
      </c>
      <c r="E86" s="1">
        <f>COUNTIFS(data!$C:$C,"other",data!$F:$F,"*restlessness*")</f>
        <v>0</v>
      </c>
    </row>
    <row r="87" spans="1:5" x14ac:dyDescent="0.25">
      <c r="A87" s="1" t="s">
        <v>246</v>
      </c>
      <c r="B87" s="1">
        <f t="shared" si="2"/>
        <v>1</v>
      </c>
      <c r="C87" s="1">
        <f>COUNTIFS(data!$C:$C,"male",data!$F:$F,"*rapid_heartbeat*")</f>
        <v>0</v>
      </c>
      <c r="D87" s="1">
        <f>COUNTIFS(data!$C:$C,"female",data!$F:$F,"*rapid_heartbeat*")</f>
        <v>1</v>
      </c>
      <c r="E87" s="1">
        <f>COUNTIFS(data!$C:$C,"other",data!$F:$F,"*rapid_heartbeat*")</f>
        <v>0</v>
      </c>
    </row>
    <row r="88" spans="1:5" x14ac:dyDescent="0.25">
      <c r="A88" s="1" t="s">
        <v>247</v>
      </c>
      <c r="B88" s="1">
        <f t="shared" si="2"/>
        <v>10</v>
      </c>
      <c r="C88" s="1">
        <f>COUNTIFS(data!$C:$C,"male",data!$F:$F,"*reduced_libido*")</f>
        <v>2</v>
      </c>
      <c r="D88" s="1">
        <f>COUNTIFS(data!$C:$C,"female",data!$F:$F,"*reduced_libido*")</f>
        <v>8</v>
      </c>
      <c r="E88" s="1">
        <f>COUNTIFS(data!$C:$C,"other",data!$F:$F,"*reduced_libido*")</f>
        <v>0</v>
      </c>
    </row>
    <row r="89" spans="1:5" x14ac:dyDescent="0.25">
      <c r="A89" s="1" t="s">
        <v>248</v>
      </c>
      <c r="B89" s="1">
        <f t="shared" si="2"/>
        <v>0</v>
      </c>
      <c r="C89" s="1">
        <f>COUNTIFS(data!$C:$C,"male",data!$F:$F,"*ritualistic*")</f>
        <v>0</v>
      </c>
      <c r="D89" s="1">
        <f>COUNTIFS(data!$C:$C,"female",data!$F:$F,"*ritualistic*")</f>
        <v>0</v>
      </c>
      <c r="E89" s="1">
        <f>COUNTIFS(data!$C:$C,"other",data!$F:$F,"*ritualistic*")</f>
        <v>0</v>
      </c>
    </row>
    <row r="90" spans="1:5" x14ac:dyDescent="0.25">
      <c r="A90" s="1" t="s">
        <v>13</v>
      </c>
      <c r="B90" s="1">
        <f t="shared" si="2"/>
        <v>8</v>
      </c>
      <c r="C90" s="1">
        <f>COUNTIFS(data!$C:$C,"male",data!$F:$F,"*rumination*")</f>
        <v>2</v>
      </c>
      <c r="D90" s="1">
        <f>COUNTIFS(data!$C:$C,"female",data!$F:$F,"*rumination*")</f>
        <v>6</v>
      </c>
      <c r="E90" s="1">
        <f>COUNTIFS(data!$C:$C,"other",data!$F:$F,"*rumination*")</f>
        <v>0</v>
      </c>
    </row>
    <row r="91" spans="1:5" x14ac:dyDescent="0.25">
      <c r="A91" s="1" t="s">
        <v>249</v>
      </c>
      <c r="B91" s="1">
        <f t="shared" si="2"/>
        <v>2</v>
      </c>
      <c r="C91" s="1">
        <f>COUNTIFS(data!$C:$C,"male",data!$F:$F,"*racing_thoughts*")</f>
        <v>1</v>
      </c>
      <c r="D91" s="1">
        <f>COUNTIFS(data!$C:$C,"female",data!$F:$F,"*racing_thoughts*")</f>
        <v>1</v>
      </c>
      <c r="E91" s="1">
        <f>COUNTIFS(data!$C:$C,"other",data!$F:$F,"*racing_thoughts*")</f>
        <v>0</v>
      </c>
    </row>
    <row r="92" spans="1:5" x14ac:dyDescent="0.25">
      <c r="A92" s="1" t="s">
        <v>250</v>
      </c>
      <c r="B92" s="1">
        <f t="shared" si="2"/>
        <v>1</v>
      </c>
      <c r="C92" s="1">
        <f>COUNTIFS(data!$C:$C,"male",data!$F:$F,"*risk_taking*")</f>
        <v>1</v>
      </c>
      <c r="D92" s="1">
        <f>COUNTIFS(data!$C:$C,"female",data!$F:$F,"*risk_taking*")</f>
        <v>0</v>
      </c>
      <c r="E92" s="1">
        <f>COUNTIFS(data!$C:$C,"other",data!$F:$F,"*risk_taking*")</f>
        <v>0</v>
      </c>
    </row>
    <row r="93" spans="1:5" x14ac:dyDescent="0.25">
      <c r="A93" s="1" t="s">
        <v>251</v>
      </c>
      <c r="B93" s="1">
        <f t="shared" si="2"/>
        <v>0</v>
      </c>
      <c r="C93" s="1">
        <f>COUNTIFS(data!$C:$C,"male",data!$F:$F,"*rapid_speech*")</f>
        <v>0</v>
      </c>
      <c r="D93" s="1">
        <f>COUNTIFS(data!$C:$C,"female",data!$F:$F,"*rapid_speech*")</f>
        <v>0</v>
      </c>
      <c r="E93" s="1">
        <f>COUNTIFS(data!$C:$C,"other",data!$F:$F,"*rapid_speech*")</f>
        <v>0</v>
      </c>
    </row>
    <row r="94" spans="1:5" x14ac:dyDescent="0.25">
      <c r="A94" s="1" t="s">
        <v>252</v>
      </c>
      <c r="B94" s="1">
        <f t="shared" si="2"/>
        <v>8</v>
      </c>
      <c r="C94" s="1">
        <f>COUNTIFS(data!$C:$C,"male",data!$F:$F,"*relationship_issues*")</f>
        <v>2</v>
      </c>
      <c r="D94" s="1">
        <f>COUNTIFS(data!$C:$C,"female",data!$F:$F,"*relationship_issues*")</f>
        <v>6</v>
      </c>
      <c r="E94" s="1">
        <f>COUNTIFS(data!$C:$C,"other",data!$F:$F,"*relationship_issues*")</f>
        <v>0</v>
      </c>
    </row>
    <row r="95" spans="1:5" x14ac:dyDescent="0.25">
      <c r="A95" s="1" t="s">
        <v>253</v>
      </c>
      <c r="B95" s="1">
        <f t="shared" si="2"/>
        <v>5</v>
      </c>
      <c r="C95" s="1">
        <f>COUNTIFS(data!$C:$C,"male",data!$F:$F,"*short_breath*")</f>
        <v>1</v>
      </c>
      <c r="D95" s="1">
        <f>COUNTIFS(data!$C:$C,"female",data!$F:$F,"*short_breath*")</f>
        <v>4</v>
      </c>
      <c r="E95" s="1">
        <f>COUNTIFS(data!$C:$C,"other",data!$F:$F,"*short_breath*")</f>
        <v>0</v>
      </c>
    </row>
    <row r="96" spans="1:5" x14ac:dyDescent="0.25">
      <c r="A96" s="1" t="s">
        <v>254</v>
      </c>
      <c r="B96" s="1">
        <f t="shared" si="2"/>
        <v>7</v>
      </c>
      <c r="C96" s="1">
        <f>COUNTIFS(data!$C:$C,"male",data!$F:$F,"*skin_rash*")</f>
        <v>1</v>
      </c>
      <c r="D96" s="1">
        <f>COUNTIFS(data!$C:$C,"female",data!$F:$F,"*skin_rash*")</f>
        <v>6</v>
      </c>
      <c r="E96" s="1">
        <f>COUNTIFS(data!$C:$C,"other",data!$F:$F,"*skin_rash*")</f>
        <v>0</v>
      </c>
    </row>
    <row r="97" spans="1:5" x14ac:dyDescent="0.25">
      <c r="A97" s="1" t="s">
        <v>255</v>
      </c>
      <c r="B97" s="1">
        <f t="shared" si="2"/>
        <v>0</v>
      </c>
      <c r="C97" s="1">
        <f>COUNTIFS(data!$C:$C,"male",data!$F:$F,"*self_harm*")</f>
        <v>0</v>
      </c>
      <c r="D97" s="1">
        <f>COUNTIFS(data!$C:$C,"female",data!$F:$F,"*self_harm*")</f>
        <v>0</v>
      </c>
      <c r="E97" s="1">
        <f>COUNTIFS(data!$C:$C,"other",data!$F:$F,"*self_harm*")</f>
        <v>0</v>
      </c>
    </row>
    <row r="98" spans="1:5" x14ac:dyDescent="0.25">
      <c r="A98" s="1" t="s">
        <v>256</v>
      </c>
      <c r="B98" s="1">
        <f t="shared" si="2"/>
        <v>2</v>
      </c>
      <c r="C98" s="1">
        <f>COUNTIFS(data!$C:$C,"male",data!$F:$F,"*self_blame*")</f>
        <v>1</v>
      </c>
      <c r="D98" s="1">
        <f>COUNTIFS(data!$C:$C,"female",data!$F:$F,"*self_blame*")</f>
        <v>1</v>
      </c>
      <c r="E98" s="1">
        <f>COUNTIFS(data!$C:$C,"other",data!$F:$F,"*self_blame*")</f>
        <v>0</v>
      </c>
    </row>
    <row r="99" spans="1:5" x14ac:dyDescent="0.25">
      <c r="A99" s="1" t="s">
        <v>257</v>
      </c>
      <c r="B99" s="1">
        <f t="shared" si="2"/>
        <v>9</v>
      </c>
      <c r="C99" s="1">
        <f>COUNTIFS(data!$C:$C,"male",data!$F:$F,"*sleep_disturb*")</f>
        <v>2</v>
      </c>
      <c r="D99" s="1">
        <f>COUNTIFS(data!$C:$C,"female",data!$F:$F,"*sleep_disturb*")</f>
        <v>7</v>
      </c>
      <c r="E99" s="1">
        <f>COUNTIFS(data!$C:$C,"other",data!$F:$F,"*sleep_disturb*")</f>
        <v>0</v>
      </c>
    </row>
    <row r="100" spans="1:5" x14ac:dyDescent="0.25">
      <c r="A100" s="1" t="s">
        <v>258</v>
      </c>
      <c r="B100" s="1">
        <f t="shared" si="2"/>
        <v>0</v>
      </c>
      <c r="C100" s="1">
        <f>COUNTIFS(data!$C:$C,"male",data!$F:$F,"*superiority*")</f>
        <v>0</v>
      </c>
      <c r="D100" s="1">
        <f>COUNTIFS(data!$C:$C,"female",data!$F:$F,"*superiority*")</f>
        <v>0</v>
      </c>
      <c r="E100" s="1">
        <f>COUNTIFS(data!$C:$C,"other",data!$F:$F,"*superiority*")</f>
        <v>0</v>
      </c>
    </row>
    <row r="101" spans="1:5" x14ac:dyDescent="0.25">
      <c r="A101" s="1" t="s">
        <v>259</v>
      </c>
      <c r="B101" s="1">
        <f t="shared" si="2"/>
        <v>0</v>
      </c>
      <c r="C101" s="1">
        <f>COUNTIFS(data!$C:$C,"male",data!$F:$F,"*secrecy*")</f>
        <v>0</v>
      </c>
      <c r="D101" s="1">
        <f>COUNTIFS(data!$C:$C,"female",data!$F:$F,"*secrecy*")</f>
        <v>0</v>
      </c>
      <c r="E101" s="1">
        <f>COUNTIFS(data!$C:$C,"other",data!$F:$F,"*secrecy*")</f>
        <v>0</v>
      </c>
    </row>
    <row r="102" spans="1:5" x14ac:dyDescent="0.25">
      <c r="A102" s="1" t="s">
        <v>260</v>
      </c>
      <c r="B102" s="1">
        <f t="shared" si="2"/>
        <v>1</v>
      </c>
      <c r="C102" s="1">
        <f>COUNTIFS(data!$C:$C,"male",data!$F:$F,"*substance_use*")</f>
        <v>0</v>
      </c>
      <c r="D102" s="1">
        <f>COUNTIFS(data!$C:$C,"female",data!$F:$F,"*substance_use*")</f>
        <v>1</v>
      </c>
      <c r="E102" s="1">
        <f>COUNTIFS(data!$C:$C,"other",data!$F:$F,"*substance_use*")</f>
        <v>0</v>
      </c>
    </row>
    <row r="103" spans="1:5" x14ac:dyDescent="0.25">
      <c r="A103" s="1" t="s">
        <v>261</v>
      </c>
      <c r="B103" s="1">
        <f t="shared" si="2"/>
        <v>5</v>
      </c>
      <c r="C103" s="1">
        <f>COUNTIFS(data!$C:$C,"male",data!$F:$F,"*sadness*")</f>
        <v>0</v>
      </c>
      <c r="D103" s="1">
        <f>COUNTIFS(data!$C:$C,"female",data!$F:$F,"*sadness*")</f>
        <v>5</v>
      </c>
      <c r="E103" s="1">
        <f>COUNTIFS(data!$C:$C,"other",data!$F:$F,"*sadness*")</f>
        <v>0</v>
      </c>
    </row>
    <row r="104" spans="1:5" x14ac:dyDescent="0.25">
      <c r="A104" s="1" t="s">
        <v>262</v>
      </c>
      <c r="B104" s="1">
        <f t="shared" si="2"/>
        <v>13</v>
      </c>
      <c r="C104" s="1">
        <f>COUNTIFS(data!$C:$C,"male",data!$F:$F,"*trouble_relax*")</f>
        <v>2</v>
      </c>
      <c r="D104" s="1">
        <f>COUNTIFS(data!$C:$C,"female",data!$F:$F,"*trouble_relax*")</f>
        <v>11</v>
      </c>
      <c r="E104" s="1">
        <f>COUNTIFS(data!$C:$C,"other",data!$F:$F,"*trouble_relax*")</f>
        <v>0</v>
      </c>
    </row>
    <row r="105" spans="1:5" x14ac:dyDescent="0.25">
      <c r="A105" s="1" t="s">
        <v>263</v>
      </c>
      <c r="B105" s="1">
        <f t="shared" si="2"/>
        <v>1</v>
      </c>
      <c r="C105" s="1">
        <f>COUNTIFS(data!$C:$C,"male",data!$F:$F,"*thin_hair*")</f>
        <v>0</v>
      </c>
      <c r="D105" s="1">
        <f>COUNTIFS(data!$C:$C,"female",data!$F:$F,"*thin_hair*")</f>
        <v>1</v>
      </c>
      <c r="E105" s="1">
        <f>COUNTIFS(data!$C:$C,"other",data!$F:$F,"*thin_hair*")</f>
        <v>0</v>
      </c>
    </row>
    <row r="106" spans="1:5" x14ac:dyDescent="0.25">
      <c r="A106" s="1" t="s">
        <v>264</v>
      </c>
      <c r="B106" s="1">
        <f t="shared" si="2"/>
        <v>0</v>
      </c>
      <c r="C106" s="1">
        <f>COUNTIFS(data!$C:$C,"male",data!$F:$F,"*tolerance*")</f>
        <v>0</v>
      </c>
      <c r="D106" s="1">
        <f>COUNTIFS(data!$C:$C,"female",data!$F:$F,"*tolerance*")</f>
        <v>0</v>
      </c>
      <c r="E106" s="1">
        <f>COUNTIFS(data!$C:$C,"other",data!$F:$F,"*tolerance*")</f>
        <v>0</v>
      </c>
    </row>
    <row r="107" spans="1:5" x14ac:dyDescent="0.25">
      <c r="A107" s="1" t="s">
        <v>265</v>
      </c>
      <c r="B107" s="1">
        <f t="shared" si="2"/>
        <v>9</v>
      </c>
      <c r="C107" s="1">
        <f>COUNTIFS(data!$C:$C,"male",data!$F:$F,"*upset_stomach*")</f>
        <v>1</v>
      </c>
      <c r="D107" s="1">
        <f>COUNTIFS(data!$C:$C,"female",data!$F:$F,"*upset_stomach*")</f>
        <v>8</v>
      </c>
      <c r="E107" s="1">
        <f>COUNTIFS(data!$C:$C,"other",data!$F:$F,"*upset_stomach*")</f>
        <v>0</v>
      </c>
    </row>
    <row r="108" spans="1:5" x14ac:dyDescent="0.25">
      <c r="A108" s="1" t="s">
        <v>266</v>
      </c>
      <c r="B108" s="1">
        <f t="shared" si="2"/>
        <v>3</v>
      </c>
      <c r="C108" s="1">
        <f>COUNTIFS(data!$C:$C,"male",data!$F:$F,"*worthlessness*")</f>
        <v>0</v>
      </c>
      <c r="D108" s="1">
        <f>COUNTIFS(data!$C:$C,"female",data!$F:$F,"*worthlessness*")</f>
        <v>3</v>
      </c>
      <c r="E108" s="1">
        <f>COUNTIFS(data!$C:$C,"other",data!$F:$F,"*worthlessness*")</f>
        <v>0</v>
      </c>
    </row>
    <row r="109" spans="1:5" x14ac:dyDescent="0.25">
      <c r="A109" s="1" t="s">
        <v>32</v>
      </c>
      <c r="B109" s="1">
        <f t="shared" si="2"/>
        <v>3</v>
      </c>
      <c r="C109" s="1">
        <f>COUNTIFS(data!$C:$C,"male",data!$F:$F,"*weight_changes*")</f>
        <v>1</v>
      </c>
      <c r="D109" s="1">
        <f>COUNTIFS(data!$C:$C,"female",data!$F:$F,"*weight_changes*")</f>
        <v>2</v>
      </c>
      <c r="E109" s="1">
        <f>COUNTIFS(data!$C:$C,"other",data!$F:$F,"*weight_changes*")</f>
        <v>0</v>
      </c>
    </row>
    <row r="110" spans="1:5" x14ac:dyDescent="0.25">
      <c r="A110" s="1" t="s">
        <v>36</v>
      </c>
      <c r="B110" s="1">
        <f t="shared" si="2"/>
        <v>1</v>
      </c>
      <c r="C110" s="1">
        <f>COUNTIFS(data!$C:$C,"male",data!$F:$F,"*withdrawal*")</f>
        <v>1</v>
      </c>
      <c r="D110" s="1">
        <f>COUNTIFS(data!$C:$C,"female",data!$F:$F,"*withdrawal*")</f>
        <v>0</v>
      </c>
      <c r="E110" s="1">
        <f>COUNTIFS(data!$C:$C,"other",data!$F:$F,"*withdrawal*")</f>
        <v>0</v>
      </c>
    </row>
    <row r="113" spans="3:3" x14ac:dyDescent="0.25">
      <c r="C113" s="6"/>
    </row>
    <row r="114" spans="3:3" x14ac:dyDescent="0.25">
      <c r="C114" s="6"/>
    </row>
    <row r="115" spans="3:3" x14ac:dyDescent="0.25">
      <c r="C115" s="6"/>
    </row>
    <row r="116" spans="3:3" x14ac:dyDescent="0.25">
      <c r="C116" s="6"/>
    </row>
    <row r="117" spans="3:3" x14ac:dyDescent="0.25">
      <c r="C117" s="6"/>
    </row>
    <row r="118" spans="3:3" x14ac:dyDescent="0.25">
      <c r="C118" s="6"/>
    </row>
    <row r="119" spans="3:3" x14ac:dyDescent="0.25">
      <c r="C119" s="6"/>
    </row>
    <row r="120" spans="3:3" x14ac:dyDescent="0.25">
      <c r="C120" s="6"/>
    </row>
    <row r="121" spans="3:3" x14ac:dyDescent="0.25">
      <c r="C121" s="6"/>
    </row>
    <row r="122" spans="3:3" x14ac:dyDescent="0.25">
      <c r="C122" s="6"/>
    </row>
    <row r="123" spans="3:3" x14ac:dyDescent="0.25">
      <c r="C123" s="6"/>
    </row>
    <row r="124" spans="3:3" x14ac:dyDescent="0.25">
      <c r="C124" s="6"/>
    </row>
    <row r="125" spans="3:3" x14ac:dyDescent="0.25">
      <c r="C125" s="6"/>
    </row>
    <row r="126" spans="3:3" x14ac:dyDescent="0.25">
      <c r="C126" s="6"/>
    </row>
    <row r="127" spans="3:3" x14ac:dyDescent="0.25">
      <c r="C127" s="6"/>
    </row>
  </sheetData>
  <mergeCells count="8">
    <mergeCell ref="O22:R22"/>
    <mergeCell ref="K6:M6"/>
    <mergeCell ref="O6:P6"/>
    <mergeCell ref="G10:J10"/>
    <mergeCell ref="A1:D1"/>
    <mergeCell ref="G1:I1"/>
    <mergeCell ref="K1:P1"/>
    <mergeCell ref="G6:I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C5A6E-BBB1-4563-9F02-60736CDD5C2D}">
  <dimension ref="A1"/>
  <sheetViews>
    <sheetView workbookViewId="0">
      <selection activeCell="A50" sqref="A50"/>
    </sheetView>
  </sheetViews>
  <sheetFormatPr defaultRowHeight="15.7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Formulas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G</dc:creator>
  <cp:lastModifiedBy>Grill, Lukas</cp:lastModifiedBy>
  <dcterms:created xsi:type="dcterms:W3CDTF">2020-01-16T02:58:09Z</dcterms:created>
  <dcterms:modified xsi:type="dcterms:W3CDTF">2020-05-20T18:28:25Z</dcterms:modified>
</cp:coreProperties>
</file>